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Attendance" sheetId="2" state="visible" r:id="rId4"/>
    <sheet name="Holidays" sheetId="3" state="visible" r:id="rId5"/>
    <sheet name="Summary" sheetId="4" state="visible" r:id="rId6"/>
  </sheets>
  <definedNames>
    <definedName function="false" hidden="false" localSheetId="1" name="_xlnm.Print_Area" vbProcedure="false">Attendance!$A$1:$AO$30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" authorId="0">
      <text>
        <r>
          <rPr>
            <sz val="10"/>
            <rFont val="Arial"/>
            <family val="2"/>
          </rPr>
          <t xml:space="preserve">Type the first day of the month you want, e.g. 01-Nov-2026. Dates, weekdays, weekly offs and holidays update automatically.</t>
        </r>
      </text>
    </comment>
  </commentList>
</comments>
</file>

<file path=xl/sharedStrings.xml><?xml version="1.0" encoding="utf-8"?>
<sst xmlns="http://schemas.openxmlformats.org/spreadsheetml/2006/main" count="622" uniqueCount="105">
  <si>
    <t xml:space="preserve">How to use this attendance sheet</t>
  </si>
  <si>
    <t xml:space="preserve">1. Attendance sheet, cell C2: type the first day of the month (for example 01-Nov-2026). Dates and weekdays fill in by themselves.</t>
  </si>
  <si>
    <t xml:space="preserve">2. Cell C3: choose the weekly off: Sunday, or Saturday and Sunday.</t>
  </si>
  <si>
    <t xml:space="preserve">3. Holidays sheet: list your company holidays in column A. Those days turn grey on the Attendance sheet.</t>
  </si>
  <si>
    <t xml:space="preserve">4. Replace the dummy employees in columns A to C with your team (up to 20 rows; copy a row down to add more).</t>
  </si>
  <si>
    <t xml:space="preserve">5. Mark each working day with P (present), A (absent, loss of pay), HD (half day) or L (paid leave). Use the drop-down in each cell.</t>
  </si>
  <si>
    <t xml:space="preserve">6. Leave grey columns (weekly offs and holidays) blank. They are paid days automatically.</t>
  </si>
  <si>
    <t xml:space="preserve">7. Read the totals: Present, Absent (LOP), Half days, Paid leave, Not marked, Paid days and Attendance %. Not marked shows working days you forgot to fill.</t>
  </si>
  <si>
    <t xml:space="preserve">8. The Summary sheet shows team attendance %, LOP days, the most absent employee and department-wise figures.</t>
  </si>
  <si>
    <t xml:space="preserve">Formulas used</t>
  </si>
  <si>
    <t xml:space="preserve">Present = COUNTIFS(day type = "Work", code = "P") + 0.5 × COUNTIFS(day type = "Work", code = "HD")</t>
  </si>
  <si>
    <t xml:space="preserve">Absent (LOP) = COUNTIFS(day type = "Work", code = "A") + 0.5 × COUNTIFS(day type = "Work", code = "HD")</t>
  </si>
  <si>
    <t xml:space="preserve">Paid days = Days in month − Absent (LOP)</t>
  </si>
  <si>
    <t xml:space="preserve">Attendance % = Present ÷ Working days</t>
  </si>
  <si>
    <t xml:space="preserve">All names and data in this file are fictional. Free template by Excel Keys · excelkeys.in</t>
  </si>
  <si>
    <t xml:space="preserve">Monthly Attendance Sheet</t>
  </si>
  <si>
    <t xml:space="preserve">Month starting</t>
  </si>
  <si>
    <t xml:space="preserve">Days in month</t>
  </si>
  <si>
    <t xml:space="preserve">Weekly offs</t>
  </si>
  <si>
    <t xml:space="preserve">Codes:  P = Present   A = Absent (loss of pay)   HD = Half day   L = Paid leave</t>
  </si>
  <si>
    <t xml:space="preserve">Weekly off</t>
  </si>
  <si>
    <t xml:space="preserve">Sunday</t>
  </si>
  <si>
    <t xml:space="preserve">Working days</t>
  </si>
  <si>
    <t xml:space="preserve">Holidays</t>
  </si>
  <si>
    <t xml:space="preserve">Grey columns are weekly offs (WO) or holidays (H): leave them blank. Yellow cells are inputs. Dummy data only.</t>
  </si>
  <si>
    <t xml:space="preserve">Day type</t>
  </si>
  <si>
    <t xml:space="preserve">Date</t>
  </si>
  <si>
    <t xml:space="preserve">Emp ID</t>
  </si>
  <si>
    <t xml:space="preserve">Employee name</t>
  </si>
  <si>
    <t xml:space="preserve">Department</t>
  </si>
  <si>
    <t xml:space="preserve">Present</t>
  </si>
  <si>
    <t xml:space="preserve">Absent (LOP)</t>
  </si>
  <si>
    <t xml:space="preserve">Half days</t>
  </si>
  <si>
    <t xml:space="preserve">Paid leave</t>
  </si>
  <si>
    <t xml:space="preserve">Not marked</t>
  </si>
  <si>
    <t xml:space="preserve">Paid days</t>
  </si>
  <si>
    <t xml:space="preserve">Attendance %</t>
  </si>
  <si>
    <t xml:space="preserve">E101</t>
  </si>
  <si>
    <t xml:space="preserve">Aarav Mehta</t>
  </si>
  <si>
    <t xml:space="preserve">Sales</t>
  </si>
  <si>
    <t xml:space="preserve">P</t>
  </si>
  <si>
    <t xml:space="preserve">HD</t>
  </si>
  <si>
    <t xml:space="preserve">A</t>
  </si>
  <si>
    <t xml:space="preserve">E102</t>
  </si>
  <si>
    <t xml:space="preserve">Priya Nair</t>
  </si>
  <si>
    <t xml:space="preserve">Operations</t>
  </si>
  <si>
    <t xml:space="preserve">E103</t>
  </si>
  <si>
    <t xml:space="preserve">Rohan Kulkarni</t>
  </si>
  <si>
    <t xml:space="preserve">HR</t>
  </si>
  <si>
    <t xml:space="preserve">L</t>
  </si>
  <si>
    <t xml:space="preserve">E104</t>
  </si>
  <si>
    <t xml:space="preserve">Sneha Iyer</t>
  </si>
  <si>
    <t xml:space="preserve">Finance</t>
  </si>
  <si>
    <t xml:space="preserve">E105</t>
  </si>
  <si>
    <t xml:space="preserve">Vikram Singh</t>
  </si>
  <si>
    <t xml:space="preserve">E106</t>
  </si>
  <si>
    <t xml:space="preserve">Ananya Das</t>
  </si>
  <si>
    <t xml:space="preserve">E107</t>
  </si>
  <si>
    <t xml:space="preserve">Kabir Joshi</t>
  </si>
  <si>
    <t xml:space="preserve">E108</t>
  </si>
  <si>
    <t xml:space="preserve">Meera Pillai</t>
  </si>
  <si>
    <t xml:space="preserve">E109</t>
  </si>
  <si>
    <t xml:space="preserve">Arjun Reddy</t>
  </si>
  <si>
    <t xml:space="preserve">E110</t>
  </si>
  <si>
    <t xml:space="preserve">Ishita Bose</t>
  </si>
  <si>
    <t xml:space="preserve">E111</t>
  </si>
  <si>
    <t xml:space="preserve">Rahul Verma</t>
  </si>
  <si>
    <t xml:space="preserve">E112</t>
  </si>
  <si>
    <t xml:space="preserve">Kavya Menon</t>
  </si>
  <si>
    <t xml:space="preserve">E113</t>
  </si>
  <si>
    <t xml:space="preserve">Siddharth Rao</t>
  </si>
  <si>
    <t xml:space="preserve">E114</t>
  </si>
  <si>
    <t xml:space="preserve">Pooja Patil</t>
  </si>
  <si>
    <t xml:space="preserve">E115</t>
  </si>
  <si>
    <t xml:space="preserve">Nikhil Gupta</t>
  </si>
  <si>
    <t xml:space="preserve">E116</t>
  </si>
  <si>
    <t xml:space="preserve">Divya Sharma</t>
  </si>
  <si>
    <t xml:space="preserve">E117</t>
  </si>
  <si>
    <t xml:space="preserve">Aditya Jain</t>
  </si>
  <si>
    <t xml:space="preserve">E118</t>
  </si>
  <si>
    <t xml:space="preserve">Neha Kapoor</t>
  </si>
  <si>
    <t xml:space="preserve">E119</t>
  </si>
  <si>
    <t xml:space="preserve">Manish Yadav</t>
  </si>
  <si>
    <t xml:space="preserve">E120</t>
  </si>
  <si>
    <t xml:space="preserve">Ritu Chawla</t>
  </si>
  <si>
    <t xml:space="preserve">Present (per day)</t>
  </si>
  <si>
    <t xml:space="preserve">Absent (per day)</t>
  </si>
  <si>
    <t xml:space="preserve">Holiday date</t>
  </si>
  <si>
    <t xml:space="preserve">Holiday name</t>
  </si>
  <si>
    <t xml:space="preserve">Example dates only. Replace them with your own holiday list (one date per row, column A). Add as many rows as you need, up to row 60.</t>
  </si>
  <si>
    <t xml:space="preserve">Gandhi Jayanti</t>
  </si>
  <si>
    <t xml:space="preserve">Company holiday (example)</t>
  </si>
  <si>
    <t xml:space="preserve">Attendance Summary</t>
  </si>
  <si>
    <t xml:space="preserve">Employees</t>
  </si>
  <si>
    <t xml:space="preserve">Avg attendance %</t>
  </si>
  <si>
    <t xml:space="preserve">Absent days (LOP)</t>
  </si>
  <si>
    <t xml:space="preserve">Average attendance %</t>
  </si>
  <si>
    <t xml:space="preserve">Total present days</t>
  </si>
  <si>
    <t xml:space="preserve">Total absent days (LOP)</t>
  </si>
  <si>
    <t xml:space="preserve">Total paid leave days</t>
  </si>
  <si>
    <t xml:space="preserve">Employees below 90% attendance</t>
  </si>
  <si>
    <t xml:space="preserve">Cells not marked yet</t>
  </si>
  <si>
    <t xml:space="preserve">Department names are inputs: edit them to match column C of the Attendance sheet.</t>
  </si>
  <si>
    <t xml:space="preserve">Most absent employee</t>
  </si>
  <si>
    <t xml:space="preserve">Their absent days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</si>
</sst>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\-mmm\-yyyy"/>
    <numFmt numFmtId="166" formatCode="General"/>
    <numFmt numFmtId="167" formatCode="dd"/>
    <numFmt numFmtId="168" formatCode="0.0;\-0.0;0"/>
    <numFmt numFmtId="169" formatCode="0.0%"/>
    <numFmt numFmtId="170" formatCode="0.#"/>
    <numFmt numFmtId="171" formatCode="0"/>
    <numFmt numFmtId="172" formatCode="0.0"/>
    <numFmt numFmtId="173" formatCode="@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A5C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1F2A5C"/>
      <name val="Arial"/>
      <family val="0"/>
      <charset val="1"/>
    </font>
    <font>
      <b val="true"/>
      <sz val="16"/>
      <color rgb="FF1F2A5C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3B5BD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667085"/>
      <name val="Arial"/>
      <family val="0"/>
      <charset val="1"/>
    </font>
    <font>
      <sz val="9"/>
      <color rgb="FF6670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2"/>
    </font>
    <font>
      <sz val="10"/>
      <color rgb="FF55555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EF3C7"/>
      </patternFill>
    </fill>
    <fill>
      <patternFill patternType="solid">
        <fgColor rgb="FF1F2A5C"/>
        <bgColor rgb="FF222222"/>
      </patternFill>
    </fill>
    <fill>
      <patternFill patternType="solid">
        <fgColor rgb="FF3B5BDB"/>
        <bgColor rgb="FF1E40A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5"/>
      </left>
      <right style="thin">
        <color rgb="FFD5DAE5"/>
      </right>
      <top style="thin">
        <color rgb="FFD5DAE5"/>
      </top>
      <bottom style="thin">
        <color rgb="FFD5DA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>
          <bgColor rgb="FFE4E7EE"/>
        </patternFill>
      </fill>
    </dxf>
    <dxf>
      <font>
        <name val="Arial"/>
        <charset val="1"/>
        <family val="0"/>
        <b val="1"/>
        <color rgb="FF166534"/>
      </font>
      <fill>
        <patternFill>
          <bgColor rgb="FFDCFCE7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  <dxf>
      <font>
        <name val="Arial"/>
        <charset val="1"/>
        <family val="0"/>
        <b val="1"/>
        <color rgb="FF1E40AF"/>
      </font>
      <fill>
        <patternFill>
          <bgColor rgb="FFDBEAFE"/>
        </patternFill>
      </fill>
    </dxf>
    <dxf>
      <font>
        <name val="Arial"/>
        <charset val="1"/>
        <family val="0"/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0C0C0"/>
      <rgbColor rgb="FF808080"/>
      <rgbColor rgb="FF9999FF"/>
      <rgbColor rgb="FFB91C1C"/>
      <rgbColor rgb="FFFFF4CC"/>
      <rgbColor rgb="FFDCFCE7"/>
      <rgbColor rgb="FF660066"/>
      <rgbColor rgb="FFFF8080"/>
      <rgbColor rgb="FF0066CC"/>
      <rgbColor rgb="FFD5DA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AFE"/>
      <rgbColor rgb="FFE4E7EE"/>
      <rgbColor rgb="FFFEF3C7"/>
      <rgbColor rgb="FF99CCFF"/>
      <rgbColor rgb="FFFF99CC"/>
      <rgbColor rgb="FFCC99FF"/>
      <rgbColor rgb="FFFEE2E2"/>
      <rgbColor rgb="FF3B5BDB"/>
      <rgbColor rgb="FF33CCCC"/>
      <rgbColor rgb="FF99CC00"/>
      <rgbColor rgb="FFFFCC00"/>
      <rgbColor rgb="FFFF9900"/>
      <rgbColor rgb="FFFF6600"/>
      <rgbColor rgb="FF667085"/>
      <rgbColor rgb="FF969696"/>
      <rgbColor rgb="FF1F2A5C"/>
      <rgbColor rgb="FF339966"/>
      <rgbColor rgb="FF003300"/>
      <rgbColor rgb="FF555555"/>
      <rgbColor rgb="FF92400E"/>
      <rgbColor rgb="FF993366"/>
      <rgbColor rgb="FF1E40A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3" t="s">
        <v>2</v>
      </c>
    </row>
    <row r="4" customFormat="false" ht="15" hidden="false" customHeight="true" outlineLevel="0" collapsed="false">
      <c r="A4" s="3" t="s">
        <v>3</v>
      </c>
    </row>
    <row r="5" customFormat="false" ht="15" hidden="false" customHeight="true" outlineLevel="0" collapsed="false">
      <c r="A5" s="3" t="s">
        <v>4</v>
      </c>
    </row>
    <row r="6" customFormat="false" ht="15" hidden="false" customHeight="true" outlineLevel="0" collapsed="false">
      <c r="A6" s="3" t="s">
        <v>5</v>
      </c>
    </row>
    <row r="7" customFormat="false" ht="15" hidden="false" customHeight="true" outlineLevel="0" collapsed="false">
      <c r="A7" s="3" t="s">
        <v>6</v>
      </c>
    </row>
    <row r="8" customFormat="false" ht="15" hidden="false" customHeight="true" outlineLevel="0" collapsed="false">
      <c r="A8" s="3" t="s">
        <v>7</v>
      </c>
    </row>
    <row r="9" customFormat="false" ht="15" hidden="false" customHeight="true" outlineLevel="0" collapsed="false">
      <c r="A9" s="3" t="s">
        <v>8</v>
      </c>
    </row>
    <row r="10" customFormat="false" ht="15" hidden="false" customHeight="true" outlineLevel="0" collapsed="false">
      <c r="A10" s="3"/>
    </row>
    <row r="11" customFormat="false" ht="15" hidden="false" customHeight="true" outlineLevel="0" collapsed="false">
      <c r="A11" s="4" t="s">
        <v>9</v>
      </c>
    </row>
    <row r="12" customFormat="false" ht="15" hidden="false" customHeight="true" outlineLevel="0" collapsed="false">
      <c r="A12" s="3" t="s">
        <v>10</v>
      </c>
    </row>
    <row r="13" customFormat="false" ht="15" hidden="false" customHeight="true" outlineLevel="0" collapsed="false">
      <c r="A13" s="3" t="s">
        <v>11</v>
      </c>
    </row>
    <row r="14" customFormat="false" ht="15" hidden="false" customHeight="true" outlineLevel="0" collapsed="false">
      <c r="A14" s="3" t="s">
        <v>12</v>
      </c>
    </row>
    <row r="15" customFormat="false" ht="15" hidden="false" customHeight="true" outlineLevel="0" collapsed="false">
      <c r="A15" s="3" t="s">
        <v>13</v>
      </c>
    </row>
    <row r="16" customFormat="false" ht="15" hidden="false" customHeight="true" outlineLevel="0" collapsed="false">
      <c r="A16" s="3"/>
    </row>
    <row r="17" customFormat="false" ht="15" hidden="false" customHeight="true" outlineLevel="0" collapsed="false">
      <c r="A17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O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0"/>
    <col collapsed="false" customWidth="true" hidden="false" outlineLevel="0" max="3" min="3" style="1" width="13"/>
    <col collapsed="false" customWidth="true" hidden="false" outlineLevel="0" max="34" min="4" style="1" width="4.6"/>
    <col collapsed="false" customWidth="true" hidden="false" outlineLevel="0" max="41" min="35" style="1" width="11"/>
  </cols>
  <sheetData>
    <row r="1" customFormat="false" ht="19.5" hidden="false" customHeight="true" outlineLevel="0" collapsed="false">
      <c r="A1" s="5" t="s">
        <v>15</v>
      </c>
    </row>
    <row r="2" customFormat="false" ht="15" hidden="false" customHeight="true" outlineLevel="0" collapsed="false">
      <c r="A2" s="6" t="s">
        <v>16</v>
      </c>
      <c r="C2" s="7" t="n">
        <v>46296</v>
      </c>
      <c r="E2" s="6" t="s">
        <v>17</v>
      </c>
      <c r="H2" s="8" t="n">
        <f aca="false">DAY(EOMONTH(C2,0))</f>
        <v>31</v>
      </c>
      <c r="J2" s="6" t="s">
        <v>18</v>
      </c>
      <c r="M2" s="8" t="n">
        <f aca="false">COUNTIF(D5:AH5,"WO")</f>
        <v>4</v>
      </c>
      <c r="O2" s="6" t="s">
        <v>19</v>
      </c>
    </row>
    <row r="3" customFormat="false" ht="15" hidden="false" customHeight="true" outlineLevel="0" collapsed="false">
      <c r="A3" s="6" t="s">
        <v>20</v>
      </c>
      <c r="C3" s="9" t="s">
        <v>21</v>
      </c>
      <c r="E3" s="6" t="s">
        <v>22</v>
      </c>
      <c r="H3" s="8" t="n">
        <f aca="false">COUNTIF(D5:AH5,"Work")</f>
        <v>25</v>
      </c>
      <c r="J3" s="6" t="s">
        <v>23</v>
      </c>
      <c r="M3" s="8" t="n">
        <f aca="false">COUNTIF(D5:AH5,"H")</f>
        <v>2</v>
      </c>
      <c r="O3" s="10" t="s">
        <v>24</v>
      </c>
    </row>
    <row r="5" customFormat="false" ht="15" hidden="false" customHeight="true" outlineLevel="0" collapsed="false">
      <c r="A5" s="11" t="s">
        <v>25</v>
      </c>
      <c r="D5" s="12" t="str">
        <f aca="false">IF(D6="","",IF(OR(WEEKDAY(D6)=1,AND($C$3="Saturday and Sunday",WEEKDAY(D6)=7)),"WO",IF(COUNTIF(Holidays!$A$2:$A$60,D6)&gt;0,"H","Work")))</f>
        <v>Work</v>
      </c>
      <c r="E5" s="12" t="str">
        <f aca="false">IF(E6="","",IF(OR(WEEKDAY(E6)=1,AND($C$3="Saturday and Sunday",WEEKDAY(E6)=7)),"WO",IF(COUNTIF(Holidays!$A$2:$A$60,E6)&gt;0,"H","Work")))</f>
        <v>H</v>
      </c>
      <c r="F5" s="12" t="str">
        <f aca="false">IF(F6="","",IF(OR(WEEKDAY(F6)=1,AND($C$3="Saturday and Sunday",WEEKDAY(F6)=7)),"WO",IF(COUNTIF(Holidays!$A$2:$A$60,F6)&gt;0,"H","Work")))</f>
        <v>Work</v>
      </c>
      <c r="G5" s="12" t="str">
        <f aca="false">IF(G6="","",IF(OR(WEEKDAY(G6)=1,AND($C$3="Saturday and Sunday",WEEKDAY(G6)=7)),"WO",IF(COUNTIF(Holidays!$A$2:$A$60,G6)&gt;0,"H","Work")))</f>
        <v>WO</v>
      </c>
      <c r="H5" s="12" t="str">
        <f aca="false">IF(H6="","",IF(OR(WEEKDAY(H6)=1,AND($C$3="Saturday and Sunday",WEEKDAY(H6)=7)),"WO",IF(COUNTIF(Holidays!$A$2:$A$60,H6)&gt;0,"H","Work")))</f>
        <v>Work</v>
      </c>
      <c r="I5" s="12" t="str">
        <f aca="false">IF(I6="","",IF(OR(WEEKDAY(I6)=1,AND($C$3="Saturday and Sunday",WEEKDAY(I6)=7)),"WO",IF(COUNTIF(Holidays!$A$2:$A$60,I6)&gt;0,"H","Work")))</f>
        <v>Work</v>
      </c>
      <c r="J5" s="12" t="str">
        <f aca="false">IF(J6="","",IF(OR(WEEKDAY(J6)=1,AND($C$3="Saturday and Sunday",WEEKDAY(J6)=7)),"WO",IF(COUNTIF(Holidays!$A$2:$A$60,J6)&gt;0,"H","Work")))</f>
        <v>Work</v>
      </c>
      <c r="K5" s="12" t="str">
        <f aca="false">IF(K6="","",IF(OR(WEEKDAY(K6)=1,AND($C$3="Saturday and Sunday",WEEKDAY(K6)=7)),"WO",IF(COUNTIF(Holidays!$A$2:$A$60,K6)&gt;0,"H","Work")))</f>
        <v>Work</v>
      </c>
      <c r="L5" s="12" t="str">
        <f aca="false">IF(L6="","",IF(OR(WEEKDAY(L6)=1,AND($C$3="Saturday and Sunday",WEEKDAY(L6)=7)),"WO",IF(COUNTIF(Holidays!$A$2:$A$60,L6)&gt;0,"H","Work")))</f>
        <v>Work</v>
      </c>
      <c r="M5" s="12" t="str">
        <f aca="false">IF(M6="","",IF(OR(WEEKDAY(M6)=1,AND($C$3="Saturday and Sunday",WEEKDAY(M6)=7)),"WO",IF(COUNTIF(Holidays!$A$2:$A$60,M6)&gt;0,"H","Work")))</f>
        <v>Work</v>
      </c>
      <c r="N5" s="12" t="str">
        <f aca="false">IF(N6="","",IF(OR(WEEKDAY(N6)=1,AND($C$3="Saturday and Sunday",WEEKDAY(N6)=7)),"WO",IF(COUNTIF(Holidays!$A$2:$A$60,N6)&gt;0,"H","Work")))</f>
        <v>WO</v>
      </c>
      <c r="O5" s="12" t="str">
        <f aca="false">IF(O6="","",IF(OR(WEEKDAY(O6)=1,AND($C$3="Saturday and Sunday",WEEKDAY(O6)=7)),"WO",IF(COUNTIF(Holidays!$A$2:$A$60,O6)&gt;0,"H","Work")))</f>
        <v>Work</v>
      </c>
      <c r="P5" s="12" t="str">
        <f aca="false">IF(P6="","",IF(OR(WEEKDAY(P6)=1,AND($C$3="Saturday and Sunday",WEEKDAY(P6)=7)),"WO",IF(COUNTIF(Holidays!$A$2:$A$60,P6)&gt;0,"H","Work")))</f>
        <v>Work</v>
      </c>
      <c r="Q5" s="12" t="str">
        <f aca="false">IF(Q6="","",IF(OR(WEEKDAY(Q6)=1,AND($C$3="Saturday and Sunday",WEEKDAY(Q6)=7)),"WO",IF(COUNTIF(Holidays!$A$2:$A$60,Q6)&gt;0,"H","Work")))</f>
        <v>Work</v>
      </c>
      <c r="R5" s="12" t="str">
        <f aca="false">IF(R6="","",IF(OR(WEEKDAY(R6)=1,AND($C$3="Saturday and Sunday",WEEKDAY(R6)=7)),"WO",IF(COUNTIF(Holidays!$A$2:$A$60,R6)&gt;0,"H","Work")))</f>
        <v>Work</v>
      </c>
      <c r="S5" s="12" t="str">
        <f aca="false">IF(S6="","",IF(OR(WEEKDAY(S6)=1,AND($C$3="Saturday and Sunday",WEEKDAY(S6)=7)),"WO",IF(COUNTIF(Holidays!$A$2:$A$60,S6)&gt;0,"H","Work")))</f>
        <v>Work</v>
      </c>
      <c r="T5" s="12" t="str">
        <f aca="false">IF(T6="","",IF(OR(WEEKDAY(T6)=1,AND($C$3="Saturday and Sunday",WEEKDAY(T6)=7)),"WO",IF(COUNTIF(Holidays!$A$2:$A$60,T6)&gt;0,"H","Work")))</f>
        <v>Work</v>
      </c>
      <c r="U5" s="12" t="str">
        <f aca="false">IF(U6="","",IF(OR(WEEKDAY(U6)=1,AND($C$3="Saturday and Sunday",WEEKDAY(U6)=7)),"WO",IF(COUNTIF(Holidays!$A$2:$A$60,U6)&gt;0,"H","Work")))</f>
        <v>WO</v>
      </c>
      <c r="V5" s="12" t="str">
        <f aca="false">IF(V6="","",IF(OR(WEEKDAY(V6)=1,AND($C$3="Saturday and Sunday",WEEKDAY(V6)=7)),"WO",IF(COUNTIF(Holidays!$A$2:$A$60,V6)&gt;0,"H","Work")))</f>
        <v>Work</v>
      </c>
      <c r="W5" s="12" t="str">
        <f aca="false">IF(W6="","",IF(OR(WEEKDAY(W6)=1,AND($C$3="Saturday and Sunday",WEEKDAY(W6)=7)),"WO",IF(COUNTIF(Holidays!$A$2:$A$60,W6)&gt;0,"H","Work")))</f>
        <v>H</v>
      </c>
      <c r="X5" s="12" t="str">
        <f aca="false">IF(X6="","",IF(OR(WEEKDAY(X6)=1,AND($C$3="Saturday and Sunday",WEEKDAY(X6)=7)),"WO",IF(COUNTIF(Holidays!$A$2:$A$60,X6)&gt;0,"H","Work")))</f>
        <v>Work</v>
      </c>
      <c r="Y5" s="12" t="str">
        <f aca="false">IF(Y6="","",IF(OR(WEEKDAY(Y6)=1,AND($C$3="Saturday and Sunday",WEEKDAY(Y6)=7)),"WO",IF(COUNTIF(Holidays!$A$2:$A$60,Y6)&gt;0,"H","Work")))</f>
        <v>Work</v>
      </c>
      <c r="Z5" s="12" t="str">
        <f aca="false">IF(Z6="","",IF(OR(WEEKDAY(Z6)=1,AND($C$3="Saturday and Sunday",WEEKDAY(Z6)=7)),"WO",IF(COUNTIF(Holidays!$A$2:$A$60,Z6)&gt;0,"H","Work")))</f>
        <v>Work</v>
      </c>
      <c r="AA5" s="12" t="str">
        <f aca="false">IF(AA6="","",IF(OR(WEEKDAY(AA6)=1,AND($C$3="Saturday and Sunday",WEEKDAY(AA6)=7)),"WO",IF(COUNTIF(Holidays!$A$2:$A$60,AA6)&gt;0,"H","Work")))</f>
        <v>Work</v>
      </c>
      <c r="AB5" s="12" t="str">
        <f aca="false">IF(AB6="","",IF(OR(WEEKDAY(AB6)=1,AND($C$3="Saturday and Sunday",WEEKDAY(AB6)=7)),"WO",IF(COUNTIF(Holidays!$A$2:$A$60,AB6)&gt;0,"H","Work")))</f>
        <v>WO</v>
      </c>
      <c r="AC5" s="12" t="str">
        <f aca="false">IF(AC6="","",IF(OR(WEEKDAY(AC6)=1,AND($C$3="Saturday and Sunday",WEEKDAY(AC6)=7)),"WO",IF(COUNTIF(Holidays!$A$2:$A$60,AC6)&gt;0,"H","Work")))</f>
        <v>Work</v>
      </c>
      <c r="AD5" s="12" t="str">
        <f aca="false">IF(AD6="","",IF(OR(WEEKDAY(AD6)=1,AND($C$3="Saturday and Sunday",WEEKDAY(AD6)=7)),"WO",IF(COUNTIF(Holidays!$A$2:$A$60,AD6)&gt;0,"H","Work")))</f>
        <v>Work</v>
      </c>
      <c r="AE5" s="12" t="str">
        <f aca="false">IF(AE6="","",IF(OR(WEEKDAY(AE6)=1,AND($C$3="Saturday and Sunday",WEEKDAY(AE6)=7)),"WO",IF(COUNTIF(Holidays!$A$2:$A$60,AE6)&gt;0,"H","Work")))</f>
        <v>Work</v>
      </c>
      <c r="AF5" s="12" t="str">
        <f aca="false">IF(AF6="","",IF(OR(WEEKDAY(AF6)=1,AND($C$3="Saturday and Sunday",WEEKDAY(AF6)=7)),"WO",IF(COUNTIF(Holidays!$A$2:$A$60,AF6)&gt;0,"H","Work")))</f>
        <v>Work</v>
      </c>
      <c r="AG5" s="12" t="str">
        <f aca="false">IF(AG6="","",IF(OR(WEEKDAY(AG6)=1,AND($C$3="Saturday and Sunday",WEEKDAY(AG6)=7)),"WO",IF(COUNTIF(Holidays!$A$2:$A$60,AG6)&gt;0,"H","Work")))</f>
        <v>Work</v>
      </c>
      <c r="AH5" s="12" t="str">
        <f aca="false">IF(AH6="","",IF(OR(WEEKDAY(AH6)=1,AND($C$3="Saturday and Sunday",WEEKDAY(AH6)=7)),"WO",IF(COUNTIF(Holidays!$A$2:$A$60,AH6)&gt;0,"H","Work")))</f>
        <v>Work</v>
      </c>
    </row>
    <row r="6" customFormat="false" ht="15" hidden="false" customHeight="true" outlineLevel="0" collapsed="false">
      <c r="A6" s="11" t="s">
        <v>26</v>
      </c>
      <c r="D6" s="13" t="n">
        <f aca="false">IF(0&lt;$H$2,$C$2+0,"")</f>
        <v>46296</v>
      </c>
      <c r="E6" s="13" t="n">
        <f aca="false">IF(1&lt;$H$2,$C$2+1,"")</f>
        <v>46297</v>
      </c>
      <c r="F6" s="13" t="n">
        <f aca="false">IF(2&lt;$H$2,$C$2+2,"")</f>
        <v>46298</v>
      </c>
      <c r="G6" s="13" t="n">
        <f aca="false">IF(3&lt;$H$2,$C$2+3,"")</f>
        <v>46299</v>
      </c>
      <c r="H6" s="13" t="n">
        <f aca="false">IF(4&lt;$H$2,$C$2+4,"")</f>
        <v>46300</v>
      </c>
      <c r="I6" s="13" t="n">
        <f aca="false">IF(5&lt;$H$2,$C$2+5,"")</f>
        <v>46301</v>
      </c>
      <c r="J6" s="13" t="n">
        <f aca="false">IF(6&lt;$H$2,$C$2+6,"")</f>
        <v>46302</v>
      </c>
      <c r="K6" s="13" t="n">
        <f aca="false">IF(7&lt;$H$2,$C$2+7,"")</f>
        <v>46303</v>
      </c>
      <c r="L6" s="13" t="n">
        <f aca="false">IF(8&lt;$H$2,$C$2+8,"")</f>
        <v>46304</v>
      </c>
      <c r="M6" s="13" t="n">
        <f aca="false">IF(9&lt;$H$2,$C$2+9,"")</f>
        <v>46305</v>
      </c>
      <c r="N6" s="13" t="n">
        <f aca="false">IF(10&lt;$H$2,$C$2+10,"")</f>
        <v>46306</v>
      </c>
      <c r="O6" s="13" t="n">
        <f aca="false">IF(11&lt;$H$2,$C$2+11,"")</f>
        <v>46307</v>
      </c>
      <c r="P6" s="13" t="n">
        <f aca="false">IF(12&lt;$H$2,$C$2+12,"")</f>
        <v>46308</v>
      </c>
      <c r="Q6" s="13" t="n">
        <f aca="false">IF(13&lt;$H$2,$C$2+13,"")</f>
        <v>46309</v>
      </c>
      <c r="R6" s="13" t="n">
        <f aca="false">IF(14&lt;$H$2,$C$2+14,"")</f>
        <v>46310</v>
      </c>
      <c r="S6" s="13" t="n">
        <f aca="false">IF(15&lt;$H$2,$C$2+15,"")</f>
        <v>46311</v>
      </c>
      <c r="T6" s="13" t="n">
        <f aca="false">IF(16&lt;$H$2,$C$2+16,"")</f>
        <v>46312</v>
      </c>
      <c r="U6" s="13" t="n">
        <f aca="false">IF(17&lt;$H$2,$C$2+17,"")</f>
        <v>46313</v>
      </c>
      <c r="V6" s="13" t="n">
        <f aca="false">IF(18&lt;$H$2,$C$2+18,"")</f>
        <v>46314</v>
      </c>
      <c r="W6" s="13" t="n">
        <f aca="false">IF(19&lt;$H$2,$C$2+19,"")</f>
        <v>46315</v>
      </c>
      <c r="X6" s="13" t="n">
        <f aca="false">IF(20&lt;$H$2,$C$2+20,"")</f>
        <v>46316</v>
      </c>
      <c r="Y6" s="13" t="n">
        <f aca="false">IF(21&lt;$H$2,$C$2+21,"")</f>
        <v>46317</v>
      </c>
      <c r="Z6" s="13" t="n">
        <f aca="false">IF(22&lt;$H$2,$C$2+22,"")</f>
        <v>46318</v>
      </c>
      <c r="AA6" s="13" t="n">
        <f aca="false">IF(23&lt;$H$2,$C$2+23,"")</f>
        <v>46319</v>
      </c>
      <c r="AB6" s="13" t="n">
        <f aca="false">IF(24&lt;$H$2,$C$2+24,"")</f>
        <v>46320</v>
      </c>
      <c r="AC6" s="13" t="n">
        <f aca="false">IF(25&lt;$H$2,$C$2+25,"")</f>
        <v>46321</v>
      </c>
      <c r="AD6" s="13" t="n">
        <f aca="false">IF(26&lt;$H$2,$C$2+26,"")</f>
        <v>46322</v>
      </c>
      <c r="AE6" s="13" t="n">
        <f aca="false">IF(27&lt;$H$2,$C$2+27,"")</f>
        <v>46323</v>
      </c>
      <c r="AF6" s="13" t="n">
        <f aca="false">IF(28&lt;$H$2,$C$2+28,"")</f>
        <v>46324</v>
      </c>
      <c r="AG6" s="13" t="n">
        <f aca="false">IF(29&lt;$H$2,$C$2+29,"")</f>
        <v>46325</v>
      </c>
      <c r="AH6" s="13" t="n">
        <f aca="false">IF(30&lt;$H$2,$C$2+30,"")</f>
        <v>46326</v>
      </c>
    </row>
    <row r="7" customFormat="false" ht="30" hidden="false" customHeight="true" outlineLevel="0" collapsed="false">
      <c r="A7" s="14" t="s">
        <v>27</v>
      </c>
      <c r="B7" s="14" t="s">
        <v>28</v>
      </c>
      <c r="C7" s="14" t="s">
        <v>29</v>
      </c>
      <c r="D7" s="15" t="str">
        <f aca="false">IF(D6="","",TEXT(D6,"ddd"))</f>
        <v>Thu</v>
      </c>
      <c r="E7" s="15" t="str">
        <f aca="false">IF(E6="","",TEXT(E6,"ddd"))</f>
        <v>Fri</v>
      </c>
      <c r="F7" s="15" t="str">
        <f aca="false">IF(F6="","",TEXT(F6,"ddd"))</f>
        <v>Sat</v>
      </c>
      <c r="G7" s="15" t="str">
        <f aca="false">IF(G6="","",TEXT(G6,"ddd"))</f>
        <v>Sun</v>
      </c>
      <c r="H7" s="15" t="str">
        <f aca="false">IF(H6="","",TEXT(H6,"ddd"))</f>
        <v>Mon</v>
      </c>
      <c r="I7" s="15" t="str">
        <f aca="false">IF(I6="","",TEXT(I6,"ddd"))</f>
        <v>Tue</v>
      </c>
      <c r="J7" s="15" t="str">
        <f aca="false">IF(J6="","",TEXT(J6,"ddd"))</f>
        <v>Wed</v>
      </c>
      <c r="K7" s="15" t="str">
        <f aca="false">IF(K6="","",TEXT(K6,"ddd"))</f>
        <v>Thu</v>
      </c>
      <c r="L7" s="15" t="str">
        <f aca="false">IF(L6="","",TEXT(L6,"ddd"))</f>
        <v>Fri</v>
      </c>
      <c r="M7" s="15" t="str">
        <f aca="false">IF(M6="","",TEXT(M6,"ddd"))</f>
        <v>Sat</v>
      </c>
      <c r="N7" s="15" t="str">
        <f aca="false">IF(N6="","",TEXT(N6,"ddd"))</f>
        <v>Sun</v>
      </c>
      <c r="O7" s="15" t="str">
        <f aca="false">IF(O6="","",TEXT(O6,"ddd"))</f>
        <v>Mon</v>
      </c>
      <c r="P7" s="15" t="str">
        <f aca="false">IF(P6="","",TEXT(P6,"ddd"))</f>
        <v>Tue</v>
      </c>
      <c r="Q7" s="15" t="str">
        <f aca="false">IF(Q6="","",TEXT(Q6,"ddd"))</f>
        <v>Wed</v>
      </c>
      <c r="R7" s="15" t="str">
        <f aca="false">IF(R6="","",TEXT(R6,"ddd"))</f>
        <v>Thu</v>
      </c>
      <c r="S7" s="15" t="str">
        <f aca="false">IF(S6="","",TEXT(S6,"ddd"))</f>
        <v>Fri</v>
      </c>
      <c r="T7" s="15" t="str">
        <f aca="false">IF(T6="","",TEXT(T6,"ddd"))</f>
        <v>Sat</v>
      </c>
      <c r="U7" s="15" t="str">
        <f aca="false">IF(U6="","",TEXT(U6,"ddd"))</f>
        <v>Sun</v>
      </c>
      <c r="V7" s="15" t="str">
        <f aca="false">IF(V6="","",TEXT(V6,"ddd"))</f>
        <v>Mon</v>
      </c>
      <c r="W7" s="15" t="str">
        <f aca="false">IF(W6="","",TEXT(W6,"ddd"))</f>
        <v>Tue</v>
      </c>
      <c r="X7" s="15" t="str">
        <f aca="false">IF(X6="","",TEXT(X6,"ddd"))</f>
        <v>Wed</v>
      </c>
      <c r="Y7" s="15" t="str">
        <f aca="false">IF(Y6="","",TEXT(Y6,"ddd"))</f>
        <v>Thu</v>
      </c>
      <c r="Z7" s="15" t="str">
        <f aca="false">IF(Z6="","",TEXT(Z6,"ddd"))</f>
        <v>Fri</v>
      </c>
      <c r="AA7" s="15" t="str">
        <f aca="false">IF(AA6="","",TEXT(AA6,"ddd"))</f>
        <v>Sat</v>
      </c>
      <c r="AB7" s="15" t="str">
        <f aca="false">IF(AB6="","",TEXT(AB6,"ddd"))</f>
        <v>Sun</v>
      </c>
      <c r="AC7" s="15" t="str">
        <f aca="false">IF(AC6="","",TEXT(AC6,"ddd"))</f>
        <v>Mon</v>
      </c>
      <c r="AD7" s="15" t="str">
        <f aca="false">IF(AD6="","",TEXT(AD6,"ddd"))</f>
        <v>Tue</v>
      </c>
      <c r="AE7" s="15" t="str">
        <f aca="false">IF(AE6="","",TEXT(AE6,"ddd"))</f>
        <v>Wed</v>
      </c>
      <c r="AF7" s="15" t="str">
        <f aca="false">IF(AF6="","",TEXT(AF6,"ddd"))</f>
        <v>Thu</v>
      </c>
      <c r="AG7" s="15" t="str">
        <f aca="false">IF(AG6="","",TEXT(AG6,"ddd"))</f>
        <v>Fri</v>
      </c>
      <c r="AH7" s="15" t="str">
        <f aca="false">IF(AH6="","",TEXT(AH6,"ddd"))</f>
        <v>Sat</v>
      </c>
      <c r="AI7" s="16" t="s">
        <v>30</v>
      </c>
      <c r="AJ7" s="16" t="s">
        <v>31</v>
      </c>
      <c r="AK7" s="16" t="s">
        <v>32</v>
      </c>
      <c r="AL7" s="16" t="s">
        <v>33</v>
      </c>
      <c r="AM7" s="16" t="s">
        <v>34</v>
      </c>
      <c r="AN7" s="16" t="s">
        <v>35</v>
      </c>
      <c r="AO7" s="16" t="s">
        <v>36</v>
      </c>
    </row>
    <row r="8" customFormat="false" ht="15" hidden="false" customHeight="true" outlineLevel="0" collapsed="false">
      <c r="A8" s="17" t="s">
        <v>37</v>
      </c>
      <c r="B8" s="17" t="s">
        <v>38</v>
      </c>
      <c r="C8" s="17" t="s">
        <v>39</v>
      </c>
      <c r="D8" s="18" t="s">
        <v>40</v>
      </c>
      <c r="E8" s="18"/>
      <c r="F8" s="18" t="s">
        <v>40</v>
      </c>
      <c r="G8" s="18"/>
      <c r="H8" s="18" t="s">
        <v>40</v>
      </c>
      <c r="I8" s="18" t="s">
        <v>40</v>
      </c>
      <c r="J8" s="18" t="s">
        <v>40</v>
      </c>
      <c r="K8" s="18" t="s">
        <v>40</v>
      </c>
      <c r="L8" s="18" t="s">
        <v>40</v>
      </c>
      <c r="M8" s="18" t="s">
        <v>40</v>
      </c>
      <c r="N8" s="18"/>
      <c r="O8" s="18" t="s">
        <v>40</v>
      </c>
      <c r="P8" s="18" t="s">
        <v>40</v>
      </c>
      <c r="Q8" s="18" t="s">
        <v>40</v>
      </c>
      <c r="R8" s="18" t="s">
        <v>40</v>
      </c>
      <c r="S8" s="18" t="s">
        <v>40</v>
      </c>
      <c r="T8" s="18" t="s">
        <v>40</v>
      </c>
      <c r="U8" s="18"/>
      <c r="V8" s="18" t="s">
        <v>40</v>
      </c>
      <c r="W8" s="18"/>
      <c r="X8" s="18" t="s">
        <v>40</v>
      </c>
      <c r="Y8" s="18" t="s">
        <v>40</v>
      </c>
      <c r="Z8" s="18" t="s">
        <v>40</v>
      </c>
      <c r="AA8" s="18" t="s">
        <v>40</v>
      </c>
      <c r="AB8" s="18"/>
      <c r="AC8" s="18" t="s">
        <v>40</v>
      </c>
      <c r="AD8" s="18" t="s">
        <v>40</v>
      </c>
      <c r="AE8" s="18" t="s">
        <v>40</v>
      </c>
      <c r="AF8" s="18" t="s">
        <v>41</v>
      </c>
      <c r="AG8" s="18" t="s">
        <v>42</v>
      </c>
      <c r="AH8" s="18" t="s">
        <v>40</v>
      </c>
      <c r="AI8" s="19" t="n">
        <f aca="false">COUNTIFS($D$5:$AH$5,"Work",D8:AH8,"P")+0.5*COUNTIFS($D$5:$AH$5,"Work",D8:AH8,"HD")</f>
        <v>23.5</v>
      </c>
      <c r="AJ8" s="19" t="n">
        <f aca="false">COUNTIFS($D$5:$AH$5,"Work",D8:AH8,"A")+0.5*COUNTIFS($D$5:$AH$5,"Work",D8:AH8,"HD")</f>
        <v>1.5</v>
      </c>
      <c r="AK8" s="19" t="n">
        <f aca="false">COUNTIFS($D$5:$AH$5,"Work",D8:AH8,"HD")</f>
        <v>1</v>
      </c>
      <c r="AL8" s="19" t="n">
        <f aca="false">COUNTIFS($D$5:$AH$5,"Work",D8:AH8,"L")</f>
        <v>0</v>
      </c>
      <c r="AM8" s="19" t="n">
        <f aca="false">$H$3-COUNTIFS($D$5:$AH$5,"Work",D8:AH8,"&lt;&gt;")</f>
        <v>0</v>
      </c>
      <c r="AN8" s="20" t="n">
        <f aca="false">$H$2-AJ8</f>
        <v>29.5</v>
      </c>
      <c r="AO8" s="21" t="n">
        <f aca="false">IFERROR(AI8/$H$3,0)</f>
        <v>0.94</v>
      </c>
    </row>
    <row r="9" customFormat="false" ht="15" hidden="false" customHeight="true" outlineLevel="0" collapsed="false">
      <c r="A9" s="17" t="s">
        <v>43</v>
      </c>
      <c r="B9" s="17" t="s">
        <v>44</v>
      </c>
      <c r="C9" s="17" t="s">
        <v>45</v>
      </c>
      <c r="D9" s="18" t="s">
        <v>42</v>
      </c>
      <c r="E9" s="18"/>
      <c r="F9" s="18" t="s">
        <v>40</v>
      </c>
      <c r="G9" s="18"/>
      <c r="H9" s="18" t="s">
        <v>40</v>
      </c>
      <c r="I9" s="18" t="s">
        <v>40</v>
      </c>
      <c r="J9" s="18" t="s">
        <v>40</v>
      </c>
      <c r="K9" s="18" t="s">
        <v>40</v>
      </c>
      <c r="L9" s="18" t="s">
        <v>40</v>
      </c>
      <c r="M9" s="18" t="s">
        <v>40</v>
      </c>
      <c r="N9" s="18"/>
      <c r="O9" s="18" t="s">
        <v>40</v>
      </c>
      <c r="P9" s="18" t="s">
        <v>40</v>
      </c>
      <c r="Q9" s="18" t="s">
        <v>40</v>
      </c>
      <c r="R9" s="18" t="s">
        <v>40</v>
      </c>
      <c r="S9" s="18" t="s">
        <v>40</v>
      </c>
      <c r="T9" s="18" t="s">
        <v>40</v>
      </c>
      <c r="U9" s="18"/>
      <c r="V9" s="18" t="s">
        <v>40</v>
      </c>
      <c r="W9" s="18"/>
      <c r="X9" s="18" t="s">
        <v>40</v>
      </c>
      <c r="Y9" s="18" t="s">
        <v>40</v>
      </c>
      <c r="Z9" s="18" t="s">
        <v>42</v>
      </c>
      <c r="AA9" s="18" t="s">
        <v>40</v>
      </c>
      <c r="AB9" s="18"/>
      <c r="AC9" s="18" t="s">
        <v>40</v>
      </c>
      <c r="AD9" s="18" t="s">
        <v>40</v>
      </c>
      <c r="AE9" s="18" t="s">
        <v>40</v>
      </c>
      <c r="AF9" s="18" t="s">
        <v>40</v>
      </c>
      <c r="AG9" s="18" t="s">
        <v>40</v>
      </c>
      <c r="AH9" s="18" t="s">
        <v>42</v>
      </c>
      <c r="AI9" s="19" t="n">
        <f aca="false">COUNTIFS($D$5:$AH$5,"Work",D9:AH9,"P")+0.5*COUNTIFS($D$5:$AH$5,"Work",D9:AH9,"HD")</f>
        <v>22</v>
      </c>
      <c r="AJ9" s="19" t="n">
        <f aca="false">COUNTIFS($D$5:$AH$5,"Work",D9:AH9,"A")+0.5*COUNTIFS($D$5:$AH$5,"Work",D9:AH9,"HD")</f>
        <v>3</v>
      </c>
      <c r="AK9" s="19" t="n">
        <f aca="false">COUNTIFS($D$5:$AH$5,"Work",D9:AH9,"HD")</f>
        <v>0</v>
      </c>
      <c r="AL9" s="19" t="n">
        <f aca="false">COUNTIFS($D$5:$AH$5,"Work",D9:AH9,"L")</f>
        <v>0</v>
      </c>
      <c r="AM9" s="19" t="n">
        <f aca="false">$H$3-COUNTIFS($D$5:$AH$5,"Work",D9:AH9,"&lt;&gt;")</f>
        <v>0</v>
      </c>
      <c r="AN9" s="20" t="n">
        <f aca="false">$H$2-AJ9</f>
        <v>28</v>
      </c>
      <c r="AO9" s="21" t="n">
        <f aca="false">IFERROR(AI9/$H$3,0)</f>
        <v>0.88</v>
      </c>
    </row>
    <row r="10" customFormat="false" ht="15" hidden="false" customHeight="true" outlineLevel="0" collapsed="false">
      <c r="A10" s="17" t="s">
        <v>46</v>
      </c>
      <c r="B10" s="17" t="s">
        <v>47</v>
      </c>
      <c r="C10" s="17" t="s">
        <v>48</v>
      </c>
      <c r="D10" s="18" t="s">
        <v>40</v>
      </c>
      <c r="E10" s="18"/>
      <c r="F10" s="18" t="s">
        <v>49</v>
      </c>
      <c r="G10" s="18"/>
      <c r="H10" s="18" t="s">
        <v>40</v>
      </c>
      <c r="I10" s="18" t="s">
        <v>40</v>
      </c>
      <c r="J10" s="18" t="s">
        <v>40</v>
      </c>
      <c r="K10" s="18" t="s">
        <v>40</v>
      </c>
      <c r="L10" s="18" t="s">
        <v>40</v>
      </c>
      <c r="M10" s="18" t="s">
        <v>40</v>
      </c>
      <c r="N10" s="18"/>
      <c r="O10" s="18" t="s">
        <v>40</v>
      </c>
      <c r="P10" s="18" t="s">
        <v>40</v>
      </c>
      <c r="Q10" s="18" t="s">
        <v>42</v>
      </c>
      <c r="R10" s="18" t="s">
        <v>40</v>
      </c>
      <c r="S10" s="18" t="s">
        <v>40</v>
      </c>
      <c r="T10" s="18" t="s">
        <v>40</v>
      </c>
      <c r="U10" s="18"/>
      <c r="V10" s="18" t="s">
        <v>40</v>
      </c>
      <c r="W10" s="18"/>
      <c r="X10" s="18" t="s">
        <v>42</v>
      </c>
      <c r="Y10" s="18" t="s">
        <v>40</v>
      </c>
      <c r="Z10" s="18" t="s">
        <v>40</v>
      </c>
      <c r="AA10" s="18" t="s">
        <v>40</v>
      </c>
      <c r="AB10" s="18"/>
      <c r="AC10" s="18" t="s">
        <v>40</v>
      </c>
      <c r="AD10" s="18" t="s">
        <v>40</v>
      </c>
      <c r="AE10" s="18" t="s">
        <v>40</v>
      </c>
      <c r="AF10" s="18" t="s">
        <v>40</v>
      </c>
      <c r="AG10" s="18" t="s">
        <v>40</v>
      </c>
      <c r="AH10" s="18" t="s">
        <v>40</v>
      </c>
      <c r="AI10" s="19" t="n">
        <f aca="false">COUNTIFS($D$5:$AH$5,"Work",D10:AH10,"P")+0.5*COUNTIFS($D$5:$AH$5,"Work",D10:AH10,"HD")</f>
        <v>22</v>
      </c>
      <c r="AJ10" s="19" t="n">
        <f aca="false">COUNTIFS($D$5:$AH$5,"Work",D10:AH10,"A")+0.5*COUNTIFS($D$5:$AH$5,"Work",D10:AH10,"HD")</f>
        <v>2</v>
      </c>
      <c r="AK10" s="19" t="n">
        <f aca="false">COUNTIFS($D$5:$AH$5,"Work",D10:AH10,"HD")</f>
        <v>0</v>
      </c>
      <c r="AL10" s="19" t="n">
        <f aca="false">COUNTIFS($D$5:$AH$5,"Work",D10:AH10,"L")</f>
        <v>1</v>
      </c>
      <c r="AM10" s="19" t="n">
        <f aca="false">$H$3-COUNTIFS($D$5:$AH$5,"Work",D10:AH10,"&lt;&gt;")</f>
        <v>0</v>
      </c>
      <c r="AN10" s="20" t="n">
        <f aca="false">$H$2-AJ10</f>
        <v>29</v>
      </c>
      <c r="AO10" s="21" t="n">
        <f aca="false">IFERROR(AI10/$H$3,0)</f>
        <v>0.88</v>
      </c>
    </row>
    <row r="11" customFormat="false" ht="15" hidden="false" customHeight="true" outlineLevel="0" collapsed="false">
      <c r="A11" s="17" t="s">
        <v>50</v>
      </c>
      <c r="B11" s="17" t="s">
        <v>51</v>
      </c>
      <c r="C11" s="17" t="s">
        <v>52</v>
      </c>
      <c r="D11" s="18" t="s">
        <v>40</v>
      </c>
      <c r="E11" s="18"/>
      <c r="F11" s="18" t="s">
        <v>40</v>
      </c>
      <c r="G11" s="18"/>
      <c r="H11" s="18" t="s">
        <v>40</v>
      </c>
      <c r="I11" s="18" t="s">
        <v>40</v>
      </c>
      <c r="J11" s="18" t="s">
        <v>40</v>
      </c>
      <c r="K11" s="18" t="s">
        <v>40</v>
      </c>
      <c r="L11" s="18" t="s">
        <v>40</v>
      </c>
      <c r="M11" s="18" t="s">
        <v>40</v>
      </c>
      <c r="N11" s="18"/>
      <c r="O11" s="18" t="s">
        <v>40</v>
      </c>
      <c r="P11" s="18" t="s">
        <v>40</v>
      </c>
      <c r="Q11" s="18" t="s">
        <v>40</v>
      </c>
      <c r="R11" s="18" t="s">
        <v>49</v>
      </c>
      <c r="S11" s="18" t="s">
        <v>40</v>
      </c>
      <c r="T11" s="18" t="s">
        <v>40</v>
      </c>
      <c r="U11" s="18"/>
      <c r="V11" s="18" t="s">
        <v>40</v>
      </c>
      <c r="W11" s="18"/>
      <c r="X11" s="18" t="s">
        <v>40</v>
      </c>
      <c r="Y11" s="18" t="s">
        <v>40</v>
      </c>
      <c r="Z11" s="18" t="s">
        <v>40</v>
      </c>
      <c r="AA11" s="18" t="s">
        <v>41</v>
      </c>
      <c r="AB11" s="18"/>
      <c r="AC11" s="18" t="s">
        <v>49</v>
      </c>
      <c r="AD11" s="18" t="s">
        <v>40</v>
      </c>
      <c r="AE11" s="18" t="s">
        <v>40</v>
      </c>
      <c r="AF11" s="18" t="s">
        <v>40</v>
      </c>
      <c r="AG11" s="18" t="s">
        <v>40</v>
      </c>
      <c r="AH11" s="18" t="s">
        <v>40</v>
      </c>
      <c r="AI11" s="19" t="n">
        <f aca="false">COUNTIFS($D$5:$AH$5,"Work",D11:AH11,"P")+0.5*COUNTIFS($D$5:$AH$5,"Work",D11:AH11,"HD")</f>
        <v>22.5</v>
      </c>
      <c r="AJ11" s="19" t="n">
        <f aca="false">COUNTIFS($D$5:$AH$5,"Work",D11:AH11,"A")+0.5*COUNTIFS($D$5:$AH$5,"Work",D11:AH11,"HD")</f>
        <v>0.5</v>
      </c>
      <c r="AK11" s="19" t="n">
        <f aca="false">COUNTIFS($D$5:$AH$5,"Work",D11:AH11,"HD")</f>
        <v>1</v>
      </c>
      <c r="AL11" s="19" t="n">
        <f aca="false">COUNTIFS($D$5:$AH$5,"Work",D11:AH11,"L")</f>
        <v>2</v>
      </c>
      <c r="AM11" s="19" t="n">
        <f aca="false">$H$3-COUNTIFS($D$5:$AH$5,"Work",D11:AH11,"&lt;&gt;")</f>
        <v>0</v>
      </c>
      <c r="AN11" s="20" t="n">
        <f aca="false">$H$2-AJ11</f>
        <v>30.5</v>
      </c>
      <c r="AO11" s="21" t="n">
        <f aca="false">IFERROR(AI11/$H$3,0)</f>
        <v>0.9</v>
      </c>
    </row>
    <row r="12" customFormat="false" ht="15" hidden="false" customHeight="true" outlineLevel="0" collapsed="false">
      <c r="A12" s="17" t="s">
        <v>53</v>
      </c>
      <c r="B12" s="17" t="s">
        <v>54</v>
      </c>
      <c r="C12" s="17" t="s">
        <v>39</v>
      </c>
      <c r="D12" s="18" t="s">
        <v>40</v>
      </c>
      <c r="E12" s="18"/>
      <c r="F12" s="18" t="s">
        <v>40</v>
      </c>
      <c r="G12" s="18"/>
      <c r="H12" s="18" t="s">
        <v>40</v>
      </c>
      <c r="I12" s="18" t="s">
        <v>40</v>
      </c>
      <c r="J12" s="18" t="s">
        <v>49</v>
      </c>
      <c r="K12" s="18" t="s">
        <v>40</v>
      </c>
      <c r="L12" s="18" t="s">
        <v>40</v>
      </c>
      <c r="M12" s="18" t="s">
        <v>40</v>
      </c>
      <c r="N12" s="18"/>
      <c r="O12" s="18" t="s">
        <v>40</v>
      </c>
      <c r="P12" s="18" t="s">
        <v>40</v>
      </c>
      <c r="Q12" s="18" t="s">
        <v>40</v>
      </c>
      <c r="R12" s="18" t="s">
        <v>40</v>
      </c>
      <c r="S12" s="18" t="s">
        <v>40</v>
      </c>
      <c r="T12" s="18" t="s">
        <v>40</v>
      </c>
      <c r="U12" s="18"/>
      <c r="V12" s="18" t="s">
        <v>40</v>
      </c>
      <c r="W12" s="18"/>
      <c r="X12" s="18" t="s">
        <v>40</v>
      </c>
      <c r="Y12" s="18" t="s">
        <v>41</v>
      </c>
      <c r="Z12" s="18" t="s">
        <v>42</v>
      </c>
      <c r="AA12" s="18" t="s">
        <v>40</v>
      </c>
      <c r="AB12" s="18"/>
      <c r="AC12" s="18" t="s">
        <v>40</v>
      </c>
      <c r="AD12" s="18" t="s">
        <v>40</v>
      </c>
      <c r="AE12" s="18" t="s">
        <v>40</v>
      </c>
      <c r="AF12" s="18" t="s">
        <v>40</v>
      </c>
      <c r="AG12" s="18" t="s">
        <v>40</v>
      </c>
      <c r="AH12" s="18" t="s">
        <v>40</v>
      </c>
      <c r="AI12" s="19" t="n">
        <f aca="false">COUNTIFS($D$5:$AH$5,"Work",D12:AH12,"P")+0.5*COUNTIFS($D$5:$AH$5,"Work",D12:AH12,"HD")</f>
        <v>22.5</v>
      </c>
      <c r="AJ12" s="19" t="n">
        <f aca="false">COUNTIFS($D$5:$AH$5,"Work",D12:AH12,"A")+0.5*COUNTIFS($D$5:$AH$5,"Work",D12:AH12,"HD")</f>
        <v>1.5</v>
      </c>
      <c r="AK12" s="19" t="n">
        <f aca="false">COUNTIFS($D$5:$AH$5,"Work",D12:AH12,"HD")</f>
        <v>1</v>
      </c>
      <c r="AL12" s="19" t="n">
        <f aca="false">COUNTIFS($D$5:$AH$5,"Work",D12:AH12,"L")</f>
        <v>1</v>
      </c>
      <c r="AM12" s="19" t="n">
        <f aca="false">$H$3-COUNTIFS($D$5:$AH$5,"Work",D12:AH12,"&lt;&gt;")</f>
        <v>0</v>
      </c>
      <c r="AN12" s="20" t="n">
        <f aca="false">$H$2-AJ12</f>
        <v>29.5</v>
      </c>
      <c r="AO12" s="21" t="n">
        <f aca="false">IFERROR(AI12/$H$3,0)</f>
        <v>0.9</v>
      </c>
    </row>
    <row r="13" customFormat="false" ht="15" hidden="false" customHeight="true" outlineLevel="0" collapsed="false">
      <c r="A13" s="17" t="s">
        <v>55</v>
      </c>
      <c r="B13" s="17" t="s">
        <v>56</v>
      </c>
      <c r="C13" s="17" t="s">
        <v>45</v>
      </c>
      <c r="D13" s="18" t="s">
        <v>40</v>
      </c>
      <c r="E13" s="18"/>
      <c r="F13" s="18" t="s">
        <v>40</v>
      </c>
      <c r="G13" s="18"/>
      <c r="H13" s="18" t="s">
        <v>40</v>
      </c>
      <c r="I13" s="18" t="s">
        <v>40</v>
      </c>
      <c r="J13" s="18" t="s">
        <v>40</v>
      </c>
      <c r="K13" s="18" t="s">
        <v>40</v>
      </c>
      <c r="L13" s="18" t="s">
        <v>49</v>
      </c>
      <c r="M13" s="18" t="s">
        <v>40</v>
      </c>
      <c r="N13" s="18"/>
      <c r="O13" s="18" t="s">
        <v>40</v>
      </c>
      <c r="P13" s="18" t="s">
        <v>40</v>
      </c>
      <c r="Q13" s="18" t="s">
        <v>49</v>
      </c>
      <c r="R13" s="18" t="s">
        <v>40</v>
      </c>
      <c r="S13" s="18" t="s">
        <v>40</v>
      </c>
      <c r="T13" s="18" t="s">
        <v>41</v>
      </c>
      <c r="U13" s="18"/>
      <c r="V13" s="18" t="s">
        <v>40</v>
      </c>
      <c r="W13" s="18"/>
      <c r="X13" s="18" t="s">
        <v>40</v>
      </c>
      <c r="Y13" s="18" t="s">
        <v>40</v>
      </c>
      <c r="Z13" s="18" t="s">
        <v>40</v>
      </c>
      <c r="AA13" s="18" t="s">
        <v>40</v>
      </c>
      <c r="AB13" s="18"/>
      <c r="AC13" s="18" t="s">
        <v>40</v>
      </c>
      <c r="AD13" s="18" t="s">
        <v>40</v>
      </c>
      <c r="AE13" s="18" t="s">
        <v>40</v>
      </c>
      <c r="AF13" s="18" t="s">
        <v>40</v>
      </c>
      <c r="AG13" s="18" t="s">
        <v>40</v>
      </c>
      <c r="AH13" s="18" t="s">
        <v>40</v>
      </c>
      <c r="AI13" s="19" t="n">
        <f aca="false">COUNTIFS($D$5:$AH$5,"Work",D13:AH13,"P")+0.5*COUNTIFS($D$5:$AH$5,"Work",D13:AH13,"HD")</f>
        <v>22.5</v>
      </c>
      <c r="AJ13" s="19" t="n">
        <f aca="false">COUNTIFS($D$5:$AH$5,"Work",D13:AH13,"A")+0.5*COUNTIFS($D$5:$AH$5,"Work",D13:AH13,"HD")</f>
        <v>0.5</v>
      </c>
      <c r="AK13" s="19" t="n">
        <f aca="false">COUNTIFS($D$5:$AH$5,"Work",D13:AH13,"HD")</f>
        <v>1</v>
      </c>
      <c r="AL13" s="19" t="n">
        <f aca="false">COUNTIFS($D$5:$AH$5,"Work",D13:AH13,"L")</f>
        <v>2</v>
      </c>
      <c r="AM13" s="19" t="n">
        <f aca="false">$H$3-COUNTIFS($D$5:$AH$5,"Work",D13:AH13,"&lt;&gt;")</f>
        <v>0</v>
      </c>
      <c r="AN13" s="20" t="n">
        <f aca="false">$H$2-AJ13</f>
        <v>30.5</v>
      </c>
      <c r="AO13" s="21" t="n">
        <f aca="false">IFERROR(AI13/$H$3,0)</f>
        <v>0.9</v>
      </c>
    </row>
    <row r="14" customFormat="false" ht="15" hidden="false" customHeight="true" outlineLevel="0" collapsed="false">
      <c r="A14" s="17" t="s">
        <v>57</v>
      </c>
      <c r="B14" s="17" t="s">
        <v>58</v>
      </c>
      <c r="C14" s="17" t="s">
        <v>39</v>
      </c>
      <c r="D14" s="18" t="s">
        <v>40</v>
      </c>
      <c r="E14" s="18"/>
      <c r="F14" s="18" t="s">
        <v>40</v>
      </c>
      <c r="G14" s="18"/>
      <c r="H14" s="18" t="s">
        <v>40</v>
      </c>
      <c r="I14" s="18" t="s">
        <v>49</v>
      </c>
      <c r="J14" s="18" t="s">
        <v>40</v>
      </c>
      <c r="K14" s="18" t="s">
        <v>40</v>
      </c>
      <c r="L14" s="18" t="s">
        <v>40</v>
      </c>
      <c r="M14" s="18" t="s">
        <v>40</v>
      </c>
      <c r="N14" s="18"/>
      <c r="O14" s="18" t="s">
        <v>40</v>
      </c>
      <c r="P14" s="18" t="s">
        <v>40</v>
      </c>
      <c r="Q14" s="18" t="s">
        <v>40</v>
      </c>
      <c r="R14" s="18" t="s">
        <v>40</v>
      </c>
      <c r="S14" s="18" t="s">
        <v>49</v>
      </c>
      <c r="T14" s="18" t="s">
        <v>40</v>
      </c>
      <c r="U14" s="18"/>
      <c r="V14" s="18" t="s">
        <v>40</v>
      </c>
      <c r="W14" s="18"/>
      <c r="X14" s="18" t="s">
        <v>40</v>
      </c>
      <c r="Y14" s="18" t="s">
        <v>40</v>
      </c>
      <c r="Z14" s="18" t="s">
        <v>40</v>
      </c>
      <c r="AA14" s="18" t="s">
        <v>40</v>
      </c>
      <c r="AB14" s="18"/>
      <c r="AC14" s="18" t="s">
        <v>40</v>
      </c>
      <c r="AD14" s="18" t="s">
        <v>40</v>
      </c>
      <c r="AE14" s="18"/>
      <c r="AF14" s="18" t="s">
        <v>40</v>
      </c>
      <c r="AG14" s="18" t="s">
        <v>49</v>
      </c>
      <c r="AH14" s="18" t="s">
        <v>40</v>
      </c>
      <c r="AI14" s="19" t="n">
        <f aca="false">COUNTIFS($D$5:$AH$5,"Work",D14:AH14,"P")+0.5*COUNTIFS($D$5:$AH$5,"Work",D14:AH14,"HD")</f>
        <v>21</v>
      </c>
      <c r="AJ14" s="19" t="n">
        <f aca="false">COUNTIFS($D$5:$AH$5,"Work",D14:AH14,"A")+0.5*COUNTIFS($D$5:$AH$5,"Work",D14:AH14,"HD")</f>
        <v>0</v>
      </c>
      <c r="AK14" s="19" t="n">
        <f aca="false">COUNTIFS($D$5:$AH$5,"Work",D14:AH14,"HD")</f>
        <v>0</v>
      </c>
      <c r="AL14" s="19" t="n">
        <f aca="false">COUNTIFS($D$5:$AH$5,"Work",D14:AH14,"L")</f>
        <v>3</v>
      </c>
      <c r="AM14" s="19" t="n">
        <f aca="false">$H$3-COUNTIFS($D$5:$AH$5,"Work",D14:AH14,"&lt;&gt;")</f>
        <v>1</v>
      </c>
      <c r="AN14" s="20" t="n">
        <f aca="false">$H$2-AJ14</f>
        <v>31</v>
      </c>
      <c r="AO14" s="21" t="n">
        <f aca="false">IFERROR(AI14/$H$3,0)</f>
        <v>0.84</v>
      </c>
    </row>
    <row r="15" customFormat="false" ht="15" hidden="false" customHeight="true" outlineLevel="0" collapsed="false">
      <c r="A15" s="17" t="s">
        <v>59</v>
      </c>
      <c r="B15" s="17" t="s">
        <v>60</v>
      </c>
      <c r="C15" s="17" t="s">
        <v>48</v>
      </c>
      <c r="D15" s="18" t="s">
        <v>40</v>
      </c>
      <c r="E15" s="18"/>
      <c r="F15" s="18" t="s">
        <v>40</v>
      </c>
      <c r="G15" s="18"/>
      <c r="H15" s="18" t="s">
        <v>40</v>
      </c>
      <c r="I15" s="18" t="s">
        <v>40</v>
      </c>
      <c r="J15" s="18" t="s">
        <v>40</v>
      </c>
      <c r="K15" s="18" t="s">
        <v>40</v>
      </c>
      <c r="L15" s="18" t="s">
        <v>40</v>
      </c>
      <c r="M15" s="18" t="s">
        <v>40</v>
      </c>
      <c r="N15" s="18"/>
      <c r="O15" s="18" t="s">
        <v>40</v>
      </c>
      <c r="P15" s="18" t="s">
        <v>40</v>
      </c>
      <c r="Q15" s="18" t="s">
        <v>40</v>
      </c>
      <c r="R15" s="18" t="s">
        <v>40</v>
      </c>
      <c r="S15" s="18" t="s">
        <v>40</v>
      </c>
      <c r="T15" s="18" t="s">
        <v>40</v>
      </c>
      <c r="U15" s="18"/>
      <c r="V15" s="18" t="s">
        <v>40</v>
      </c>
      <c r="W15" s="18"/>
      <c r="X15" s="18" t="s">
        <v>40</v>
      </c>
      <c r="Y15" s="18" t="s">
        <v>41</v>
      </c>
      <c r="Z15" s="18" t="s">
        <v>40</v>
      </c>
      <c r="AA15" s="18" t="s">
        <v>40</v>
      </c>
      <c r="AB15" s="18"/>
      <c r="AC15" s="18" t="s">
        <v>40</v>
      </c>
      <c r="AD15" s="18" t="s">
        <v>40</v>
      </c>
      <c r="AE15" s="18" t="s">
        <v>40</v>
      </c>
      <c r="AF15" s="18" t="s">
        <v>40</v>
      </c>
      <c r="AG15" s="18" t="s">
        <v>40</v>
      </c>
      <c r="AH15" s="18" t="s">
        <v>40</v>
      </c>
      <c r="AI15" s="19" t="n">
        <f aca="false">COUNTIFS($D$5:$AH$5,"Work",D15:AH15,"P")+0.5*COUNTIFS($D$5:$AH$5,"Work",D15:AH15,"HD")</f>
        <v>24.5</v>
      </c>
      <c r="AJ15" s="19" t="n">
        <f aca="false">COUNTIFS($D$5:$AH$5,"Work",D15:AH15,"A")+0.5*COUNTIFS($D$5:$AH$5,"Work",D15:AH15,"HD")</f>
        <v>0.5</v>
      </c>
      <c r="AK15" s="19" t="n">
        <f aca="false">COUNTIFS($D$5:$AH$5,"Work",D15:AH15,"HD")</f>
        <v>1</v>
      </c>
      <c r="AL15" s="19" t="n">
        <f aca="false">COUNTIFS($D$5:$AH$5,"Work",D15:AH15,"L")</f>
        <v>0</v>
      </c>
      <c r="AM15" s="19" t="n">
        <f aca="false">$H$3-COUNTIFS($D$5:$AH$5,"Work",D15:AH15,"&lt;&gt;")</f>
        <v>0</v>
      </c>
      <c r="AN15" s="20" t="n">
        <f aca="false">$H$2-AJ15</f>
        <v>30.5</v>
      </c>
      <c r="AO15" s="21" t="n">
        <f aca="false">IFERROR(AI15/$H$3,0)</f>
        <v>0.98</v>
      </c>
    </row>
    <row r="16" customFormat="false" ht="15" hidden="false" customHeight="true" outlineLevel="0" collapsed="false">
      <c r="A16" s="17" t="s">
        <v>61</v>
      </c>
      <c r="B16" s="17" t="s">
        <v>62</v>
      </c>
      <c r="C16" s="17" t="s">
        <v>45</v>
      </c>
      <c r="D16" s="18" t="s">
        <v>40</v>
      </c>
      <c r="E16" s="18"/>
      <c r="F16" s="18" t="s">
        <v>40</v>
      </c>
      <c r="G16" s="18"/>
      <c r="H16" s="18" t="s">
        <v>40</v>
      </c>
      <c r="I16" s="18" t="s">
        <v>40</v>
      </c>
      <c r="J16" s="18" t="s">
        <v>40</v>
      </c>
      <c r="K16" s="18" t="s">
        <v>40</v>
      </c>
      <c r="L16" s="18" t="s">
        <v>40</v>
      </c>
      <c r="M16" s="18" t="s">
        <v>40</v>
      </c>
      <c r="N16" s="18"/>
      <c r="O16" s="18" t="s">
        <v>40</v>
      </c>
      <c r="P16" s="18" t="s">
        <v>40</v>
      </c>
      <c r="Q16" s="18" t="s">
        <v>40</v>
      </c>
      <c r="R16" s="18" t="s">
        <v>40</v>
      </c>
      <c r="S16" s="18" t="s">
        <v>40</v>
      </c>
      <c r="T16" s="18" t="s">
        <v>40</v>
      </c>
      <c r="U16" s="18"/>
      <c r="V16" s="18" t="s">
        <v>40</v>
      </c>
      <c r="W16" s="18"/>
      <c r="X16" s="18" t="s">
        <v>40</v>
      </c>
      <c r="Y16" s="18" t="s">
        <v>40</v>
      </c>
      <c r="Z16" s="18" t="s">
        <v>40</v>
      </c>
      <c r="AA16" s="18" t="s">
        <v>40</v>
      </c>
      <c r="AB16" s="18"/>
      <c r="AC16" s="18" t="s">
        <v>40</v>
      </c>
      <c r="AD16" s="18" t="s">
        <v>40</v>
      </c>
      <c r="AE16" s="18" t="s">
        <v>40</v>
      </c>
      <c r="AF16" s="18" t="s">
        <v>49</v>
      </c>
      <c r="AG16" s="18" t="s">
        <v>40</v>
      </c>
      <c r="AH16" s="18" t="s">
        <v>40</v>
      </c>
      <c r="AI16" s="19" t="n">
        <f aca="false">COUNTIFS($D$5:$AH$5,"Work",D16:AH16,"P")+0.5*COUNTIFS($D$5:$AH$5,"Work",D16:AH16,"HD")</f>
        <v>24</v>
      </c>
      <c r="AJ16" s="19" t="n">
        <f aca="false">COUNTIFS($D$5:$AH$5,"Work",D16:AH16,"A")+0.5*COUNTIFS($D$5:$AH$5,"Work",D16:AH16,"HD")</f>
        <v>0</v>
      </c>
      <c r="AK16" s="19" t="n">
        <f aca="false">COUNTIFS($D$5:$AH$5,"Work",D16:AH16,"HD")</f>
        <v>0</v>
      </c>
      <c r="AL16" s="19" t="n">
        <f aca="false">COUNTIFS($D$5:$AH$5,"Work",D16:AH16,"L")</f>
        <v>1</v>
      </c>
      <c r="AM16" s="19" t="n">
        <f aca="false">$H$3-COUNTIFS($D$5:$AH$5,"Work",D16:AH16,"&lt;&gt;")</f>
        <v>0</v>
      </c>
      <c r="AN16" s="20" t="n">
        <f aca="false">$H$2-AJ16</f>
        <v>31</v>
      </c>
      <c r="AO16" s="21" t="n">
        <f aca="false">IFERROR(AI16/$H$3,0)</f>
        <v>0.96</v>
      </c>
    </row>
    <row r="17" customFormat="false" ht="15" hidden="false" customHeight="true" outlineLevel="0" collapsed="false">
      <c r="A17" s="17" t="s">
        <v>63</v>
      </c>
      <c r="B17" s="17" t="s">
        <v>64</v>
      </c>
      <c r="C17" s="17" t="s">
        <v>52</v>
      </c>
      <c r="D17" s="18" t="s">
        <v>40</v>
      </c>
      <c r="E17" s="18"/>
      <c r="F17" s="18" t="s">
        <v>40</v>
      </c>
      <c r="G17" s="18"/>
      <c r="H17" s="18" t="s">
        <v>40</v>
      </c>
      <c r="I17" s="18" t="s">
        <v>40</v>
      </c>
      <c r="J17" s="18" t="s">
        <v>40</v>
      </c>
      <c r="K17" s="18" t="s">
        <v>40</v>
      </c>
      <c r="L17" s="18" t="s">
        <v>40</v>
      </c>
      <c r="M17" s="18" t="s">
        <v>40</v>
      </c>
      <c r="N17" s="18"/>
      <c r="O17" s="18" t="s">
        <v>40</v>
      </c>
      <c r="P17" s="18" t="s">
        <v>40</v>
      </c>
      <c r="Q17" s="18" t="s">
        <v>40</v>
      </c>
      <c r="R17" s="18" t="s">
        <v>40</v>
      </c>
      <c r="S17" s="18" t="s">
        <v>40</v>
      </c>
      <c r="T17" s="18" t="s">
        <v>40</v>
      </c>
      <c r="U17" s="18"/>
      <c r="V17" s="18" t="s">
        <v>40</v>
      </c>
      <c r="W17" s="18"/>
      <c r="X17" s="18" t="s">
        <v>40</v>
      </c>
      <c r="Y17" s="18" t="s">
        <v>40</v>
      </c>
      <c r="Z17" s="18" t="s">
        <v>40</v>
      </c>
      <c r="AA17" s="18" t="s">
        <v>40</v>
      </c>
      <c r="AB17" s="18"/>
      <c r="AC17" s="18" t="s">
        <v>40</v>
      </c>
      <c r="AD17" s="18" t="s">
        <v>40</v>
      </c>
      <c r="AE17" s="18" t="s">
        <v>40</v>
      </c>
      <c r="AF17" s="18" t="s">
        <v>40</v>
      </c>
      <c r="AG17" s="18" t="s">
        <v>40</v>
      </c>
      <c r="AH17" s="18" t="s">
        <v>40</v>
      </c>
      <c r="AI17" s="19" t="n">
        <f aca="false">COUNTIFS($D$5:$AH$5,"Work",D17:AH17,"P")+0.5*COUNTIFS($D$5:$AH$5,"Work",D17:AH17,"HD")</f>
        <v>25</v>
      </c>
      <c r="AJ17" s="19" t="n">
        <f aca="false">COUNTIFS($D$5:$AH$5,"Work",D17:AH17,"A")+0.5*COUNTIFS($D$5:$AH$5,"Work",D17:AH17,"HD")</f>
        <v>0</v>
      </c>
      <c r="AK17" s="19" t="n">
        <f aca="false">COUNTIFS($D$5:$AH$5,"Work",D17:AH17,"HD")</f>
        <v>0</v>
      </c>
      <c r="AL17" s="19" t="n">
        <f aca="false">COUNTIFS($D$5:$AH$5,"Work",D17:AH17,"L")</f>
        <v>0</v>
      </c>
      <c r="AM17" s="19" t="n">
        <f aca="false">$H$3-COUNTIFS($D$5:$AH$5,"Work",D17:AH17,"&lt;&gt;")</f>
        <v>0</v>
      </c>
      <c r="AN17" s="20" t="n">
        <f aca="false">$H$2-AJ17</f>
        <v>31</v>
      </c>
      <c r="AO17" s="21" t="n">
        <f aca="false">IFERROR(AI17/$H$3,0)</f>
        <v>1</v>
      </c>
    </row>
    <row r="18" customFormat="false" ht="15" hidden="false" customHeight="true" outlineLevel="0" collapsed="false">
      <c r="A18" s="17" t="s">
        <v>65</v>
      </c>
      <c r="B18" s="17" t="s">
        <v>66</v>
      </c>
      <c r="C18" s="17" t="s">
        <v>39</v>
      </c>
      <c r="D18" s="18" t="s">
        <v>40</v>
      </c>
      <c r="E18" s="18"/>
      <c r="F18" s="18" t="s">
        <v>40</v>
      </c>
      <c r="G18" s="18"/>
      <c r="H18" s="18" t="s">
        <v>40</v>
      </c>
      <c r="I18" s="18" t="s">
        <v>40</v>
      </c>
      <c r="J18" s="18" t="s">
        <v>40</v>
      </c>
      <c r="K18" s="18" t="s">
        <v>40</v>
      </c>
      <c r="L18" s="18" t="s">
        <v>40</v>
      </c>
      <c r="M18" s="18" t="s">
        <v>40</v>
      </c>
      <c r="N18" s="18"/>
      <c r="O18" s="18" t="s">
        <v>40</v>
      </c>
      <c r="P18" s="18" t="s">
        <v>40</v>
      </c>
      <c r="Q18" s="18" t="s">
        <v>40</v>
      </c>
      <c r="R18" s="18" t="s">
        <v>40</v>
      </c>
      <c r="S18" s="18" t="s">
        <v>40</v>
      </c>
      <c r="T18" s="18" t="s">
        <v>49</v>
      </c>
      <c r="U18" s="18"/>
      <c r="V18" s="18" t="s">
        <v>40</v>
      </c>
      <c r="W18" s="18"/>
      <c r="X18" s="18" t="s">
        <v>40</v>
      </c>
      <c r="Y18" s="18" t="s">
        <v>40</v>
      </c>
      <c r="Z18" s="18" t="s">
        <v>40</v>
      </c>
      <c r="AA18" s="18" t="s">
        <v>40</v>
      </c>
      <c r="AB18" s="18"/>
      <c r="AC18" s="18" t="s">
        <v>40</v>
      </c>
      <c r="AD18" s="18" t="s">
        <v>40</v>
      </c>
      <c r="AE18" s="18" t="s">
        <v>40</v>
      </c>
      <c r="AF18" s="18" t="s">
        <v>40</v>
      </c>
      <c r="AG18" s="18" t="s">
        <v>40</v>
      </c>
      <c r="AH18" s="18" t="s">
        <v>40</v>
      </c>
      <c r="AI18" s="19" t="n">
        <f aca="false">COUNTIFS($D$5:$AH$5,"Work",D18:AH18,"P")+0.5*COUNTIFS($D$5:$AH$5,"Work",D18:AH18,"HD")</f>
        <v>24</v>
      </c>
      <c r="AJ18" s="19" t="n">
        <f aca="false">COUNTIFS($D$5:$AH$5,"Work",D18:AH18,"A")+0.5*COUNTIFS($D$5:$AH$5,"Work",D18:AH18,"HD")</f>
        <v>0</v>
      </c>
      <c r="AK18" s="19" t="n">
        <f aca="false">COUNTIFS($D$5:$AH$5,"Work",D18:AH18,"HD")</f>
        <v>0</v>
      </c>
      <c r="AL18" s="19" t="n">
        <f aca="false">COUNTIFS($D$5:$AH$5,"Work",D18:AH18,"L")</f>
        <v>1</v>
      </c>
      <c r="AM18" s="19" t="n">
        <f aca="false">$H$3-COUNTIFS($D$5:$AH$5,"Work",D18:AH18,"&lt;&gt;")</f>
        <v>0</v>
      </c>
      <c r="AN18" s="20" t="n">
        <f aca="false">$H$2-AJ18</f>
        <v>31</v>
      </c>
      <c r="AO18" s="21" t="n">
        <f aca="false">IFERROR(AI18/$H$3,0)</f>
        <v>0.96</v>
      </c>
    </row>
    <row r="19" customFormat="false" ht="15" hidden="false" customHeight="true" outlineLevel="0" collapsed="false">
      <c r="A19" s="17" t="s">
        <v>67</v>
      </c>
      <c r="B19" s="17" t="s">
        <v>68</v>
      </c>
      <c r="C19" s="17" t="s">
        <v>45</v>
      </c>
      <c r="D19" s="18" t="s">
        <v>40</v>
      </c>
      <c r="E19" s="18"/>
      <c r="F19" s="18" t="s">
        <v>40</v>
      </c>
      <c r="G19" s="18"/>
      <c r="H19" s="18" t="s">
        <v>40</v>
      </c>
      <c r="I19" s="18" t="s">
        <v>40</v>
      </c>
      <c r="J19" s="18" t="s">
        <v>40</v>
      </c>
      <c r="K19" s="18" t="s">
        <v>40</v>
      </c>
      <c r="L19" s="18" t="s">
        <v>40</v>
      </c>
      <c r="M19" s="18" t="s">
        <v>40</v>
      </c>
      <c r="N19" s="18"/>
      <c r="O19" s="18" t="s">
        <v>40</v>
      </c>
      <c r="P19" s="18" t="s">
        <v>40</v>
      </c>
      <c r="Q19" s="18" t="s">
        <v>40</v>
      </c>
      <c r="R19" s="18" t="s">
        <v>40</v>
      </c>
      <c r="S19" s="18" t="s">
        <v>40</v>
      </c>
      <c r="T19" s="18" t="s">
        <v>40</v>
      </c>
      <c r="U19" s="18"/>
      <c r="V19" s="18" t="s">
        <v>40</v>
      </c>
      <c r="W19" s="18"/>
      <c r="X19" s="18" t="s">
        <v>40</v>
      </c>
      <c r="Y19" s="18" t="s">
        <v>40</v>
      </c>
      <c r="Z19" s="18" t="s">
        <v>40</v>
      </c>
      <c r="AA19" s="18" t="s">
        <v>40</v>
      </c>
      <c r="AB19" s="18"/>
      <c r="AC19" s="18" t="s">
        <v>40</v>
      </c>
      <c r="AD19" s="18" t="s">
        <v>40</v>
      </c>
      <c r="AE19" s="18" t="s">
        <v>40</v>
      </c>
      <c r="AF19" s="18" t="s">
        <v>40</v>
      </c>
      <c r="AG19" s="18" t="s">
        <v>40</v>
      </c>
      <c r="AH19" s="18" t="s">
        <v>40</v>
      </c>
      <c r="AI19" s="19" t="n">
        <f aca="false">COUNTIFS($D$5:$AH$5,"Work",D19:AH19,"P")+0.5*COUNTIFS($D$5:$AH$5,"Work",D19:AH19,"HD")</f>
        <v>25</v>
      </c>
      <c r="AJ19" s="19" t="n">
        <f aca="false">COUNTIFS($D$5:$AH$5,"Work",D19:AH19,"A")+0.5*COUNTIFS($D$5:$AH$5,"Work",D19:AH19,"HD")</f>
        <v>0</v>
      </c>
      <c r="AK19" s="19" t="n">
        <f aca="false">COUNTIFS($D$5:$AH$5,"Work",D19:AH19,"HD")</f>
        <v>0</v>
      </c>
      <c r="AL19" s="19" t="n">
        <f aca="false">COUNTIFS($D$5:$AH$5,"Work",D19:AH19,"L")</f>
        <v>0</v>
      </c>
      <c r="AM19" s="19" t="n">
        <f aca="false">$H$3-COUNTIFS($D$5:$AH$5,"Work",D19:AH19,"&lt;&gt;")</f>
        <v>0</v>
      </c>
      <c r="AN19" s="20" t="n">
        <f aca="false">$H$2-AJ19</f>
        <v>31</v>
      </c>
      <c r="AO19" s="21" t="n">
        <f aca="false">IFERROR(AI19/$H$3,0)</f>
        <v>1</v>
      </c>
    </row>
    <row r="20" customFormat="false" ht="15" hidden="false" customHeight="true" outlineLevel="0" collapsed="false">
      <c r="A20" s="17" t="s">
        <v>69</v>
      </c>
      <c r="B20" s="17" t="s">
        <v>70</v>
      </c>
      <c r="C20" s="17" t="s">
        <v>48</v>
      </c>
      <c r="D20" s="18" t="s">
        <v>40</v>
      </c>
      <c r="E20" s="18"/>
      <c r="F20" s="18" t="s">
        <v>42</v>
      </c>
      <c r="G20" s="18"/>
      <c r="H20" s="18" t="s">
        <v>40</v>
      </c>
      <c r="I20" s="18" t="s">
        <v>40</v>
      </c>
      <c r="J20" s="18" t="s">
        <v>40</v>
      </c>
      <c r="K20" s="18" t="s">
        <v>40</v>
      </c>
      <c r="L20" s="18" t="s">
        <v>40</v>
      </c>
      <c r="M20" s="18" t="s">
        <v>40</v>
      </c>
      <c r="N20" s="18"/>
      <c r="O20" s="18" t="s">
        <v>40</v>
      </c>
      <c r="P20" s="18" t="s">
        <v>42</v>
      </c>
      <c r="Q20" s="18" t="s">
        <v>40</v>
      </c>
      <c r="R20" s="18" t="s">
        <v>40</v>
      </c>
      <c r="S20" s="18" t="s">
        <v>40</v>
      </c>
      <c r="T20" s="18" t="s">
        <v>40</v>
      </c>
      <c r="U20" s="18"/>
      <c r="V20" s="18" t="s">
        <v>40</v>
      </c>
      <c r="W20" s="18"/>
      <c r="X20" s="18" t="s">
        <v>40</v>
      </c>
      <c r="Y20" s="18" t="s">
        <v>40</v>
      </c>
      <c r="Z20" s="18" t="s">
        <v>40</v>
      </c>
      <c r="AA20" s="18" t="s">
        <v>40</v>
      </c>
      <c r="AB20" s="18"/>
      <c r="AC20" s="18" t="s">
        <v>40</v>
      </c>
      <c r="AD20" s="18" t="s">
        <v>40</v>
      </c>
      <c r="AE20" s="18" t="s">
        <v>40</v>
      </c>
      <c r="AF20" s="18" t="s">
        <v>40</v>
      </c>
      <c r="AG20" s="18" t="s">
        <v>40</v>
      </c>
      <c r="AH20" s="18" t="s">
        <v>40</v>
      </c>
      <c r="AI20" s="19" t="n">
        <f aca="false">COUNTIFS($D$5:$AH$5,"Work",D20:AH20,"P")+0.5*COUNTIFS($D$5:$AH$5,"Work",D20:AH20,"HD")</f>
        <v>23</v>
      </c>
      <c r="AJ20" s="19" t="n">
        <f aca="false">COUNTIFS($D$5:$AH$5,"Work",D20:AH20,"A")+0.5*COUNTIFS($D$5:$AH$5,"Work",D20:AH20,"HD")</f>
        <v>2</v>
      </c>
      <c r="AK20" s="19" t="n">
        <f aca="false">COUNTIFS($D$5:$AH$5,"Work",D20:AH20,"HD")</f>
        <v>0</v>
      </c>
      <c r="AL20" s="19" t="n">
        <f aca="false">COUNTIFS($D$5:$AH$5,"Work",D20:AH20,"L")</f>
        <v>0</v>
      </c>
      <c r="AM20" s="19" t="n">
        <f aca="false">$H$3-COUNTIFS($D$5:$AH$5,"Work",D20:AH20,"&lt;&gt;")</f>
        <v>0</v>
      </c>
      <c r="AN20" s="20" t="n">
        <f aca="false">$H$2-AJ20</f>
        <v>29</v>
      </c>
      <c r="AO20" s="21" t="n">
        <f aca="false">IFERROR(AI20/$H$3,0)</f>
        <v>0.92</v>
      </c>
    </row>
    <row r="21" customFormat="false" ht="15" hidden="false" customHeight="true" outlineLevel="0" collapsed="false">
      <c r="A21" s="17" t="s">
        <v>71</v>
      </c>
      <c r="B21" s="17" t="s">
        <v>72</v>
      </c>
      <c r="C21" s="17" t="s">
        <v>52</v>
      </c>
      <c r="D21" s="18" t="s">
        <v>40</v>
      </c>
      <c r="E21" s="18"/>
      <c r="F21" s="18" t="s">
        <v>40</v>
      </c>
      <c r="G21" s="18"/>
      <c r="H21" s="18" t="s">
        <v>40</v>
      </c>
      <c r="I21" s="18" t="s">
        <v>40</v>
      </c>
      <c r="J21" s="18" t="s">
        <v>40</v>
      </c>
      <c r="K21" s="18" t="s">
        <v>40</v>
      </c>
      <c r="L21" s="18" t="s">
        <v>40</v>
      </c>
      <c r="M21" s="18" t="s">
        <v>40</v>
      </c>
      <c r="N21" s="18"/>
      <c r="O21" s="18" t="s">
        <v>40</v>
      </c>
      <c r="P21" s="18" t="s">
        <v>40</v>
      </c>
      <c r="Q21" s="18" t="s">
        <v>40</v>
      </c>
      <c r="R21" s="18" t="s">
        <v>40</v>
      </c>
      <c r="S21" s="18" t="s">
        <v>40</v>
      </c>
      <c r="T21" s="18" t="s">
        <v>40</v>
      </c>
      <c r="U21" s="18"/>
      <c r="V21" s="18" t="s">
        <v>40</v>
      </c>
      <c r="W21" s="18"/>
      <c r="X21" s="18" t="s">
        <v>40</v>
      </c>
      <c r="Y21" s="18" t="s">
        <v>40</v>
      </c>
      <c r="Z21" s="18" t="s">
        <v>42</v>
      </c>
      <c r="AA21" s="18" t="s">
        <v>40</v>
      </c>
      <c r="AB21" s="18"/>
      <c r="AC21" s="18" t="s">
        <v>40</v>
      </c>
      <c r="AD21" s="18" t="s">
        <v>40</v>
      </c>
      <c r="AE21" s="18" t="s">
        <v>40</v>
      </c>
      <c r="AF21" s="18" t="s">
        <v>40</v>
      </c>
      <c r="AG21" s="18" t="s">
        <v>40</v>
      </c>
      <c r="AH21" s="18" t="s">
        <v>40</v>
      </c>
      <c r="AI21" s="19" t="n">
        <f aca="false">COUNTIFS($D$5:$AH$5,"Work",D21:AH21,"P")+0.5*COUNTIFS($D$5:$AH$5,"Work",D21:AH21,"HD")</f>
        <v>24</v>
      </c>
      <c r="AJ21" s="19" t="n">
        <f aca="false">COUNTIFS($D$5:$AH$5,"Work",D21:AH21,"A")+0.5*COUNTIFS($D$5:$AH$5,"Work",D21:AH21,"HD")</f>
        <v>1</v>
      </c>
      <c r="AK21" s="19" t="n">
        <f aca="false">COUNTIFS($D$5:$AH$5,"Work",D21:AH21,"HD")</f>
        <v>0</v>
      </c>
      <c r="AL21" s="19" t="n">
        <f aca="false">COUNTIFS($D$5:$AH$5,"Work",D21:AH21,"L")</f>
        <v>0</v>
      </c>
      <c r="AM21" s="19" t="n">
        <f aca="false">$H$3-COUNTIFS($D$5:$AH$5,"Work",D21:AH21,"&lt;&gt;")</f>
        <v>0</v>
      </c>
      <c r="AN21" s="20" t="n">
        <f aca="false">$H$2-AJ21</f>
        <v>30</v>
      </c>
      <c r="AO21" s="21" t="n">
        <f aca="false">IFERROR(AI21/$H$3,0)</f>
        <v>0.96</v>
      </c>
    </row>
    <row r="22" customFormat="false" ht="15" hidden="false" customHeight="true" outlineLevel="0" collapsed="false">
      <c r="A22" s="17" t="s">
        <v>73</v>
      </c>
      <c r="B22" s="17" t="s">
        <v>74</v>
      </c>
      <c r="C22" s="17" t="s">
        <v>39</v>
      </c>
      <c r="D22" s="18" t="s">
        <v>40</v>
      </c>
      <c r="E22" s="18"/>
      <c r="F22" s="18" t="s">
        <v>40</v>
      </c>
      <c r="G22" s="18"/>
      <c r="H22" s="18" t="s">
        <v>40</v>
      </c>
      <c r="I22" s="18" t="s">
        <v>40</v>
      </c>
      <c r="J22" s="18" t="s">
        <v>40</v>
      </c>
      <c r="K22" s="18" t="s">
        <v>40</v>
      </c>
      <c r="L22" s="18" t="s">
        <v>40</v>
      </c>
      <c r="M22" s="18" t="s">
        <v>40</v>
      </c>
      <c r="N22" s="18"/>
      <c r="O22" s="18" t="s">
        <v>40</v>
      </c>
      <c r="P22" s="18" t="s">
        <v>40</v>
      </c>
      <c r="Q22" s="18" t="s">
        <v>40</v>
      </c>
      <c r="R22" s="18" t="s">
        <v>40</v>
      </c>
      <c r="S22" s="18" t="s">
        <v>40</v>
      </c>
      <c r="T22" s="18" t="s">
        <v>40</v>
      </c>
      <c r="U22" s="18"/>
      <c r="V22" s="18" t="s">
        <v>41</v>
      </c>
      <c r="W22" s="18"/>
      <c r="X22" s="18" t="s">
        <v>40</v>
      </c>
      <c r="Y22" s="18" t="s">
        <v>40</v>
      </c>
      <c r="Z22" s="18" t="s">
        <v>40</v>
      </c>
      <c r="AA22" s="18" t="s">
        <v>49</v>
      </c>
      <c r="AB22" s="18"/>
      <c r="AC22" s="18" t="s">
        <v>40</v>
      </c>
      <c r="AD22" s="18" t="s">
        <v>41</v>
      </c>
      <c r="AE22" s="18" t="s">
        <v>40</v>
      </c>
      <c r="AF22" s="18" t="s">
        <v>40</v>
      </c>
      <c r="AG22" s="18" t="s">
        <v>40</v>
      </c>
      <c r="AH22" s="18" t="s">
        <v>40</v>
      </c>
      <c r="AI22" s="19" t="n">
        <f aca="false">COUNTIFS($D$5:$AH$5,"Work",D22:AH22,"P")+0.5*COUNTIFS($D$5:$AH$5,"Work",D22:AH22,"HD")</f>
        <v>23</v>
      </c>
      <c r="AJ22" s="19" t="n">
        <f aca="false">COUNTIFS($D$5:$AH$5,"Work",D22:AH22,"A")+0.5*COUNTIFS($D$5:$AH$5,"Work",D22:AH22,"HD")</f>
        <v>1</v>
      </c>
      <c r="AK22" s="19" t="n">
        <f aca="false">COUNTIFS($D$5:$AH$5,"Work",D22:AH22,"HD")</f>
        <v>2</v>
      </c>
      <c r="AL22" s="19" t="n">
        <f aca="false">COUNTIFS($D$5:$AH$5,"Work",D22:AH22,"L")</f>
        <v>1</v>
      </c>
      <c r="AM22" s="19" t="n">
        <f aca="false">$H$3-COUNTIFS($D$5:$AH$5,"Work",D22:AH22,"&lt;&gt;")</f>
        <v>0</v>
      </c>
      <c r="AN22" s="20" t="n">
        <f aca="false">$H$2-AJ22</f>
        <v>30</v>
      </c>
      <c r="AO22" s="21" t="n">
        <f aca="false">IFERROR(AI22/$H$3,0)</f>
        <v>0.92</v>
      </c>
    </row>
    <row r="23" customFormat="false" ht="15" hidden="false" customHeight="true" outlineLevel="0" collapsed="false">
      <c r="A23" s="17" t="s">
        <v>75</v>
      </c>
      <c r="B23" s="17" t="s">
        <v>76</v>
      </c>
      <c r="C23" s="17" t="s">
        <v>45</v>
      </c>
      <c r="D23" s="18" t="s">
        <v>40</v>
      </c>
      <c r="E23" s="18"/>
      <c r="F23" s="18" t="s">
        <v>40</v>
      </c>
      <c r="G23" s="18"/>
      <c r="H23" s="18" t="s">
        <v>40</v>
      </c>
      <c r="I23" s="18" t="s">
        <v>40</v>
      </c>
      <c r="J23" s="18" t="s">
        <v>40</v>
      </c>
      <c r="K23" s="18" t="s">
        <v>40</v>
      </c>
      <c r="L23" s="18" t="s">
        <v>40</v>
      </c>
      <c r="M23" s="18" t="s">
        <v>40</v>
      </c>
      <c r="N23" s="18"/>
      <c r="O23" s="18" t="s">
        <v>40</v>
      </c>
      <c r="P23" s="18" t="s">
        <v>40</v>
      </c>
      <c r="Q23" s="18" t="s">
        <v>40</v>
      </c>
      <c r="R23" s="18" t="s">
        <v>40</v>
      </c>
      <c r="S23" s="18" t="s">
        <v>40</v>
      </c>
      <c r="T23" s="18" t="s">
        <v>40</v>
      </c>
      <c r="U23" s="18"/>
      <c r="V23" s="18" t="s">
        <v>40</v>
      </c>
      <c r="W23" s="18"/>
      <c r="X23" s="18" t="s">
        <v>40</v>
      </c>
      <c r="Y23" s="18" t="s">
        <v>40</v>
      </c>
      <c r="Z23" s="18" t="s">
        <v>40</v>
      </c>
      <c r="AA23" s="18" t="s">
        <v>40</v>
      </c>
      <c r="AB23" s="18"/>
      <c r="AC23" s="18" t="s">
        <v>40</v>
      </c>
      <c r="AD23" s="18" t="s">
        <v>40</v>
      </c>
      <c r="AE23" s="18" t="s">
        <v>40</v>
      </c>
      <c r="AF23" s="18" t="s">
        <v>40</v>
      </c>
      <c r="AG23" s="18" t="s">
        <v>40</v>
      </c>
      <c r="AH23" s="18" t="s">
        <v>40</v>
      </c>
      <c r="AI23" s="19" t="n">
        <f aca="false">COUNTIFS($D$5:$AH$5,"Work",D23:AH23,"P")+0.5*COUNTIFS($D$5:$AH$5,"Work",D23:AH23,"HD")</f>
        <v>25</v>
      </c>
      <c r="AJ23" s="19" t="n">
        <f aca="false">COUNTIFS($D$5:$AH$5,"Work",D23:AH23,"A")+0.5*COUNTIFS($D$5:$AH$5,"Work",D23:AH23,"HD")</f>
        <v>0</v>
      </c>
      <c r="AK23" s="19" t="n">
        <f aca="false">COUNTIFS($D$5:$AH$5,"Work",D23:AH23,"HD")</f>
        <v>0</v>
      </c>
      <c r="AL23" s="19" t="n">
        <f aca="false">COUNTIFS($D$5:$AH$5,"Work",D23:AH23,"L")</f>
        <v>0</v>
      </c>
      <c r="AM23" s="19" t="n">
        <f aca="false">$H$3-COUNTIFS($D$5:$AH$5,"Work",D23:AH23,"&lt;&gt;")</f>
        <v>0</v>
      </c>
      <c r="AN23" s="20" t="n">
        <f aca="false">$H$2-AJ23</f>
        <v>31</v>
      </c>
      <c r="AO23" s="21" t="n">
        <f aca="false">IFERROR(AI23/$H$3,0)</f>
        <v>1</v>
      </c>
    </row>
    <row r="24" customFormat="false" ht="15" hidden="false" customHeight="true" outlineLevel="0" collapsed="false">
      <c r="A24" s="17" t="s">
        <v>77</v>
      </c>
      <c r="B24" s="17" t="s">
        <v>78</v>
      </c>
      <c r="C24" s="17" t="s">
        <v>39</v>
      </c>
      <c r="D24" s="18" t="s">
        <v>40</v>
      </c>
      <c r="E24" s="18"/>
      <c r="F24" s="18" t="s">
        <v>40</v>
      </c>
      <c r="G24" s="18"/>
      <c r="H24" s="18" t="s">
        <v>40</v>
      </c>
      <c r="I24" s="18" t="s">
        <v>40</v>
      </c>
      <c r="J24" s="18" t="s">
        <v>40</v>
      </c>
      <c r="K24" s="18" t="s">
        <v>40</v>
      </c>
      <c r="L24" s="18" t="s">
        <v>40</v>
      </c>
      <c r="M24" s="18" t="s">
        <v>40</v>
      </c>
      <c r="N24" s="18"/>
      <c r="O24" s="18" t="s">
        <v>40</v>
      </c>
      <c r="P24" s="18" t="s">
        <v>40</v>
      </c>
      <c r="Q24" s="18" t="s">
        <v>40</v>
      </c>
      <c r="R24" s="18" t="s">
        <v>40</v>
      </c>
      <c r="S24" s="18" t="s">
        <v>40</v>
      </c>
      <c r="T24" s="18" t="s">
        <v>40</v>
      </c>
      <c r="U24" s="18"/>
      <c r="V24" s="18" t="s">
        <v>40</v>
      </c>
      <c r="W24" s="18"/>
      <c r="X24" s="18" t="s">
        <v>40</v>
      </c>
      <c r="Y24" s="18" t="s">
        <v>40</v>
      </c>
      <c r="Z24" s="18" t="s">
        <v>40</v>
      </c>
      <c r="AA24" s="18" t="s">
        <v>40</v>
      </c>
      <c r="AB24" s="18"/>
      <c r="AC24" s="18" t="s">
        <v>40</v>
      </c>
      <c r="AD24" s="18" t="s">
        <v>40</v>
      </c>
      <c r="AE24" s="18" t="s">
        <v>40</v>
      </c>
      <c r="AF24" s="18" t="s">
        <v>40</v>
      </c>
      <c r="AG24" s="18" t="s">
        <v>40</v>
      </c>
      <c r="AH24" s="18" t="s">
        <v>40</v>
      </c>
      <c r="AI24" s="19" t="n">
        <f aca="false">COUNTIFS($D$5:$AH$5,"Work",D24:AH24,"P")+0.5*COUNTIFS($D$5:$AH$5,"Work",D24:AH24,"HD")</f>
        <v>25</v>
      </c>
      <c r="AJ24" s="19" t="n">
        <f aca="false">COUNTIFS($D$5:$AH$5,"Work",D24:AH24,"A")+0.5*COUNTIFS($D$5:$AH$5,"Work",D24:AH24,"HD")</f>
        <v>0</v>
      </c>
      <c r="AK24" s="19" t="n">
        <f aca="false">COUNTIFS($D$5:$AH$5,"Work",D24:AH24,"HD")</f>
        <v>0</v>
      </c>
      <c r="AL24" s="19" t="n">
        <f aca="false">COUNTIFS($D$5:$AH$5,"Work",D24:AH24,"L")</f>
        <v>0</v>
      </c>
      <c r="AM24" s="19" t="n">
        <f aca="false">$H$3-COUNTIFS($D$5:$AH$5,"Work",D24:AH24,"&lt;&gt;")</f>
        <v>0</v>
      </c>
      <c r="AN24" s="20" t="n">
        <f aca="false">$H$2-AJ24</f>
        <v>31</v>
      </c>
      <c r="AO24" s="21" t="n">
        <f aca="false">IFERROR(AI24/$H$3,0)</f>
        <v>1</v>
      </c>
    </row>
    <row r="25" customFormat="false" ht="15" hidden="false" customHeight="true" outlineLevel="0" collapsed="false">
      <c r="A25" s="17" t="s">
        <v>79</v>
      </c>
      <c r="B25" s="17" t="s">
        <v>80</v>
      </c>
      <c r="C25" s="17" t="s">
        <v>48</v>
      </c>
      <c r="D25" s="18" t="s">
        <v>49</v>
      </c>
      <c r="E25" s="18"/>
      <c r="F25" s="18" t="s">
        <v>42</v>
      </c>
      <c r="G25" s="18"/>
      <c r="H25" s="18" t="s">
        <v>40</v>
      </c>
      <c r="I25" s="18" t="s">
        <v>40</v>
      </c>
      <c r="J25" s="18" t="s">
        <v>40</v>
      </c>
      <c r="K25" s="18" t="s">
        <v>40</v>
      </c>
      <c r="L25" s="18" t="s">
        <v>40</v>
      </c>
      <c r="M25" s="18" t="s">
        <v>40</v>
      </c>
      <c r="N25" s="18"/>
      <c r="O25" s="18" t="s">
        <v>40</v>
      </c>
      <c r="P25" s="18" t="s">
        <v>40</v>
      </c>
      <c r="Q25" s="18" t="s">
        <v>40</v>
      </c>
      <c r="R25" s="18" t="s">
        <v>49</v>
      </c>
      <c r="S25" s="18" t="s">
        <v>41</v>
      </c>
      <c r="T25" s="18" t="s">
        <v>40</v>
      </c>
      <c r="U25" s="18"/>
      <c r="V25" s="18" t="s">
        <v>40</v>
      </c>
      <c r="W25" s="18"/>
      <c r="X25" s="18" t="s">
        <v>40</v>
      </c>
      <c r="Y25" s="18" t="s">
        <v>40</v>
      </c>
      <c r="Z25" s="18" t="s">
        <v>40</v>
      </c>
      <c r="AA25" s="18" t="s">
        <v>40</v>
      </c>
      <c r="AB25" s="18"/>
      <c r="AC25" s="18" t="s">
        <v>40</v>
      </c>
      <c r="AD25" s="18" t="s">
        <v>40</v>
      </c>
      <c r="AE25" s="18" t="s">
        <v>42</v>
      </c>
      <c r="AF25" s="18" t="s">
        <v>40</v>
      </c>
      <c r="AG25" s="18" t="s">
        <v>40</v>
      </c>
      <c r="AH25" s="18" t="s">
        <v>40</v>
      </c>
      <c r="AI25" s="19" t="n">
        <f aca="false">COUNTIFS($D$5:$AH$5,"Work",D25:AH25,"P")+0.5*COUNTIFS($D$5:$AH$5,"Work",D25:AH25,"HD")</f>
        <v>20.5</v>
      </c>
      <c r="AJ25" s="19" t="n">
        <f aca="false">COUNTIFS($D$5:$AH$5,"Work",D25:AH25,"A")+0.5*COUNTIFS($D$5:$AH$5,"Work",D25:AH25,"HD")</f>
        <v>2.5</v>
      </c>
      <c r="AK25" s="19" t="n">
        <f aca="false">COUNTIFS($D$5:$AH$5,"Work",D25:AH25,"HD")</f>
        <v>1</v>
      </c>
      <c r="AL25" s="19" t="n">
        <f aca="false">COUNTIFS($D$5:$AH$5,"Work",D25:AH25,"L")</f>
        <v>2</v>
      </c>
      <c r="AM25" s="19" t="n">
        <f aca="false">$H$3-COUNTIFS($D$5:$AH$5,"Work",D25:AH25,"&lt;&gt;")</f>
        <v>0</v>
      </c>
      <c r="AN25" s="20" t="n">
        <f aca="false">$H$2-AJ25</f>
        <v>28.5</v>
      </c>
      <c r="AO25" s="21" t="n">
        <f aca="false">IFERROR(AI25/$H$3,0)</f>
        <v>0.82</v>
      </c>
    </row>
    <row r="26" customFormat="false" ht="15" hidden="false" customHeight="true" outlineLevel="0" collapsed="false">
      <c r="A26" s="17" t="s">
        <v>81</v>
      </c>
      <c r="B26" s="17" t="s">
        <v>82</v>
      </c>
      <c r="C26" s="17" t="s">
        <v>45</v>
      </c>
      <c r="D26" s="18" t="s">
        <v>40</v>
      </c>
      <c r="E26" s="18"/>
      <c r="F26" s="18" t="s">
        <v>40</v>
      </c>
      <c r="G26" s="18"/>
      <c r="H26" s="18" t="s">
        <v>40</v>
      </c>
      <c r="I26" s="18" t="s">
        <v>40</v>
      </c>
      <c r="J26" s="18" t="s">
        <v>49</v>
      </c>
      <c r="K26" s="18" t="s">
        <v>40</v>
      </c>
      <c r="L26" s="18" t="s">
        <v>40</v>
      </c>
      <c r="M26" s="18" t="s">
        <v>41</v>
      </c>
      <c r="N26" s="18"/>
      <c r="O26" s="18" t="s">
        <v>40</v>
      </c>
      <c r="P26" s="18" t="s">
        <v>40</v>
      </c>
      <c r="Q26" s="18" t="s">
        <v>40</v>
      </c>
      <c r="R26" s="18" t="s">
        <v>40</v>
      </c>
      <c r="S26" s="18" t="s">
        <v>40</v>
      </c>
      <c r="T26" s="18" t="s">
        <v>40</v>
      </c>
      <c r="U26" s="18"/>
      <c r="V26" s="18" t="s">
        <v>40</v>
      </c>
      <c r="W26" s="18"/>
      <c r="X26" s="18" t="s">
        <v>40</v>
      </c>
      <c r="Y26" s="18" t="s">
        <v>40</v>
      </c>
      <c r="Z26" s="18" t="s">
        <v>40</v>
      </c>
      <c r="AA26" s="18" t="s">
        <v>49</v>
      </c>
      <c r="AB26" s="18"/>
      <c r="AC26" s="18" t="s">
        <v>40</v>
      </c>
      <c r="AD26" s="18" t="s">
        <v>40</v>
      </c>
      <c r="AE26" s="18" t="s">
        <v>40</v>
      </c>
      <c r="AF26" s="18" t="s">
        <v>40</v>
      </c>
      <c r="AG26" s="18" t="s">
        <v>40</v>
      </c>
      <c r="AH26" s="18" t="s">
        <v>40</v>
      </c>
      <c r="AI26" s="19" t="n">
        <f aca="false">COUNTIFS($D$5:$AH$5,"Work",D26:AH26,"P")+0.5*COUNTIFS($D$5:$AH$5,"Work",D26:AH26,"HD")</f>
        <v>22.5</v>
      </c>
      <c r="AJ26" s="19" t="n">
        <f aca="false">COUNTIFS($D$5:$AH$5,"Work",D26:AH26,"A")+0.5*COUNTIFS($D$5:$AH$5,"Work",D26:AH26,"HD")</f>
        <v>0.5</v>
      </c>
      <c r="AK26" s="19" t="n">
        <f aca="false">COUNTIFS($D$5:$AH$5,"Work",D26:AH26,"HD")</f>
        <v>1</v>
      </c>
      <c r="AL26" s="19" t="n">
        <f aca="false">COUNTIFS($D$5:$AH$5,"Work",D26:AH26,"L")</f>
        <v>2</v>
      </c>
      <c r="AM26" s="19" t="n">
        <f aca="false">$H$3-COUNTIFS($D$5:$AH$5,"Work",D26:AH26,"&lt;&gt;")</f>
        <v>0</v>
      </c>
      <c r="AN26" s="20" t="n">
        <f aca="false">$H$2-AJ26</f>
        <v>30.5</v>
      </c>
      <c r="AO26" s="21" t="n">
        <f aca="false">IFERROR(AI26/$H$3,0)</f>
        <v>0.9</v>
      </c>
    </row>
    <row r="27" customFormat="false" ht="15" hidden="false" customHeight="true" outlineLevel="0" collapsed="false">
      <c r="A27" s="17" t="s">
        <v>83</v>
      </c>
      <c r="B27" s="17" t="s">
        <v>84</v>
      </c>
      <c r="C27" s="17" t="s">
        <v>52</v>
      </c>
      <c r="D27" s="18" t="s">
        <v>40</v>
      </c>
      <c r="E27" s="18"/>
      <c r="F27" s="18" t="s">
        <v>40</v>
      </c>
      <c r="G27" s="18"/>
      <c r="H27" s="18" t="s">
        <v>40</v>
      </c>
      <c r="I27" s="18" t="s">
        <v>40</v>
      </c>
      <c r="J27" s="18" t="s">
        <v>49</v>
      </c>
      <c r="K27" s="18" t="s">
        <v>40</v>
      </c>
      <c r="L27" s="18" t="s">
        <v>40</v>
      </c>
      <c r="M27" s="18" t="s">
        <v>42</v>
      </c>
      <c r="N27" s="18"/>
      <c r="O27" s="18" t="s">
        <v>40</v>
      </c>
      <c r="P27" s="18" t="s">
        <v>40</v>
      </c>
      <c r="Q27" s="18" t="s">
        <v>40</v>
      </c>
      <c r="R27" s="18" t="s">
        <v>40</v>
      </c>
      <c r="S27" s="18" t="s">
        <v>40</v>
      </c>
      <c r="T27" s="18" t="s">
        <v>40</v>
      </c>
      <c r="U27" s="18"/>
      <c r="V27" s="18" t="s">
        <v>40</v>
      </c>
      <c r="W27" s="18"/>
      <c r="X27" s="18" t="s">
        <v>40</v>
      </c>
      <c r="Y27" s="18" t="s">
        <v>40</v>
      </c>
      <c r="Z27" s="18" t="s">
        <v>40</v>
      </c>
      <c r="AA27" s="18" t="s">
        <v>40</v>
      </c>
      <c r="AB27" s="18"/>
      <c r="AC27" s="18" t="s">
        <v>40</v>
      </c>
      <c r="AD27" s="18" t="s">
        <v>40</v>
      </c>
      <c r="AE27" s="18" t="s">
        <v>40</v>
      </c>
      <c r="AF27" s="18" t="s">
        <v>40</v>
      </c>
      <c r="AG27" s="18" t="s">
        <v>40</v>
      </c>
      <c r="AH27" s="18" t="s">
        <v>42</v>
      </c>
      <c r="AI27" s="19" t="n">
        <f aca="false">COUNTIFS($D$5:$AH$5,"Work",D27:AH27,"P")+0.5*COUNTIFS($D$5:$AH$5,"Work",D27:AH27,"HD")</f>
        <v>22</v>
      </c>
      <c r="AJ27" s="19" t="n">
        <f aca="false">COUNTIFS($D$5:$AH$5,"Work",D27:AH27,"A")+0.5*COUNTIFS($D$5:$AH$5,"Work",D27:AH27,"HD")</f>
        <v>2</v>
      </c>
      <c r="AK27" s="19" t="n">
        <f aca="false">COUNTIFS($D$5:$AH$5,"Work",D27:AH27,"HD")</f>
        <v>0</v>
      </c>
      <c r="AL27" s="19" t="n">
        <f aca="false">COUNTIFS($D$5:$AH$5,"Work",D27:AH27,"L")</f>
        <v>1</v>
      </c>
      <c r="AM27" s="19" t="n">
        <f aca="false">$H$3-COUNTIFS($D$5:$AH$5,"Work",D27:AH27,"&lt;&gt;")</f>
        <v>0</v>
      </c>
      <c r="AN27" s="20" t="n">
        <f aca="false">$H$2-AJ27</f>
        <v>29</v>
      </c>
      <c r="AO27" s="21" t="n">
        <f aca="false">IFERROR(AI27/$H$3,0)</f>
        <v>0.88</v>
      </c>
    </row>
    <row r="29" customFormat="false" ht="15" hidden="false" customHeight="true" outlineLevel="0" collapsed="false">
      <c r="B29" s="6" t="s">
        <v>85</v>
      </c>
      <c r="D29" s="22" t="n">
        <f aca="false">IF(D$5="Work",COUNTIF(D8:D27,"P")+0.5*COUNTIF(D8:D27,"HD"),"")</f>
        <v>18</v>
      </c>
      <c r="E29" s="22" t="str">
        <f aca="false">IF(E$5="Work",COUNTIF(E8:E27,"P")+0.5*COUNTIF(E8:E27,"HD"),"")</f>
        <v/>
      </c>
      <c r="F29" s="22" t="n">
        <f aca="false">IF(F$5="Work",COUNTIF(F8:F27,"P")+0.5*COUNTIF(F8:F27,"HD"),"")</f>
        <v>17</v>
      </c>
      <c r="G29" s="22" t="str">
        <f aca="false">IF(G$5="Work",COUNTIF(G8:G27,"P")+0.5*COUNTIF(G8:G27,"HD"),"")</f>
        <v/>
      </c>
      <c r="H29" s="22" t="n">
        <f aca="false">IF(H$5="Work",COUNTIF(H8:H27,"P")+0.5*COUNTIF(H8:H27,"HD"),"")</f>
        <v>20</v>
      </c>
      <c r="I29" s="22" t="n">
        <f aca="false">IF(I$5="Work",COUNTIF(I8:I27,"P")+0.5*COUNTIF(I8:I27,"HD"),"")</f>
        <v>19</v>
      </c>
      <c r="J29" s="22" t="n">
        <f aca="false">IF(J$5="Work",COUNTIF(J8:J27,"P")+0.5*COUNTIF(J8:J27,"HD"),"")</f>
        <v>17</v>
      </c>
      <c r="K29" s="22" t="n">
        <f aca="false">IF(K$5="Work",COUNTIF(K8:K27,"P")+0.5*COUNTIF(K8:K27,"HD"),"")</f>
        <v>20</v>
      </c>
      <c r="L29" s="22" t="n">
        <f aca="false">IF(L$5="Work",COUNTIF(L8:L27,"P")+0.5*COUNTIF(L8:L27,"HD"),"")</f>
        <v>19</v>
      </c>
      <c r="M29" s="22" t="n">
        <f aca="false">IF(M$5="Work",COUNTIF(M8:M27,"P")+0.5*COUNTIF(M8:M27,"HD"),"")</f>
        <v>18.5</v>
      </c>
      <c r="N29" s="22" t="str">
        <f aca="false">IF(N$5="Work",COUNTIF(N8:N27,"P")+0.5*COUNTIF(N8:N27,"HD"),"")</f>
        <v/>
      </c>
      <c r="O29" s="22" t="n">
        <f aca="false">IF(O$5="Work",COUNTIF(O8:O27,"P")+0.5*COUNTIF(O8:O27,"HD"),"")</f>
        <v>20</v>
      </c>
      <c r="P29" s="22" t="n">
        <f aca="false">IF(P$5="Work",COUNTIF(P8:P27,"P")+0.5*COUNTIF(P8:P27,"HD"),"")</f>
        <v>19</v>
      </c>
      <c r="Q29" s="22" t="n">
        <f aca="false">IF(Q$5="Work",COUNTIF(Q8:Q27,"P")+0.5*COUNTIF(Q8:Q27,"HD"),"")</f>
        <v>18</v>
      </c>
      <c r="R29" s="22" t="n">
        <f aca="false">IF(R$5="Work",COUNTIF(R8:R27,"P")+0.5*COUNTIF(R8:R27,"HD"),"")</f>
        <v>18</v>
      </c>
      <c r="S29" s="22" t="n">
        <f aca="false">IF(S$5="Work",COUNTIF(S8:S27,"P")+0.5*COUNTIF(S8:S27,"HD"),"")</f>
        <v>18.5</v>
      </c>
      <c r="T29" s="22" t="n">
        <f aca="false">IF(T$5="Work",COUNTIF(T8:T27,"P")+0.5*COUNTIF(T8:T27,"HD"),"")</f>
        <v>18.5</v>
      </c>
      <c r="U29" s="22" t="str">
        <f aca="false">IF(U$5="Work",COUNTIF(U8:U27,"P")+0.5*COUNTIF(U8:U27,"HD"),"")</f>
        <v/>
      </c>
      <c r="V29" s="22" t="n">
        <f aca="false">IF(V$5="Work",COUNTIF(V8:V27,"P")+0.5*COUNTIF(V8:V27,"HD"),"")</f>
        <v>19.5</v>
      </c>
      <c r="W29" s="22" t="str">
        <f aca="false">IF(W$5="Work",COUNTIF(W8:W27,"P")+0.5*COUNTIF(W8:W27,"HD"),"")</f>
        <v/>
      </c>
      <c r="X29" s="22" t="n">
        <f aca="false">IF(X$5="Work",COUNTIF(X8:X27,"P")+0.5*COUNTIF(X8:X27,"HD"),"")</f>
        <v>19</v>
      </c>
      <c r="Y29" s="22" t="n">
        <f aca="false">IF(Y$5="Work",COUNTIF(Y8:Y27,"P")+0.5*COUNTIF(Y8:Y27,"HD"),"")</f>
        <v>19</v>
      </c>
      <c r="Z29" s="22" t="n">
        <f aca="false">IF(Z$5="Work",COUNTIF(Z8:Z27,"P")+0.5*COUNTIF(Z8:Z27,"HD"),"")</f>
        <v>17</v>
      </c>
      <c r="AA29" s="22" t="n">
        <f aca="false">IF(AA$5="Work",COUNTIF(AA8:AA27,"P")+0.5*COUNTIF(AA8:AA27,"HD"),"")</f>
        <v>17.5</v>
      </c>
      <c r="AB29" s="22" t="str">
        <f aca="false">IF(AB$5="Work",COUNTIF(AB8:AB27,"P")+0.5*COUNTIF(AB8:AB27,"HD"),"")</f>
        <v/>
      </c>
      <c r="AC29" s="22" t="n">
        <f aca="false">IF(AC$5="Work",COUNTIF(AC8:AC27,"P")+0.5*COUNTIF(AC8:AC27,"HD"),"")</f>
        <v>19</v>
      </c>
      <c r="AD29" s="22" t="n">
        <f aca="false">IF(AD$5="Work",COUNTIF(AD8:AD27,"P")+0.5*COUNTIF(AD8:AD27,"HD"),"")</f>
        <v>19.5</v>
      </c>
      <c r="AE29" s="22" t="n">
        <f aca="false">IF(AE$5="Work",COUNTIF(AE8:AE27,"P")+0.5*COUNTIF(AE8:AE27,"HD"),"")</f>
        <v>18</v>
      </c>
      <c r="AF29" s="22" t="n">
        <f aca="false">IF(AF$5="Work",COUNTIF(AF8:AF27,"P")+0.5*COUNTIF(AF8:AF27,"HD"),"")</f>
        <v>18.5</v>
      </c>
      <c r="AG29" s="22" t="n">
        <f aca="false">IF(AG$5="Work",COUNTIF(AG8:AG27,"P")+0.5*COUNTIF(AG8:AG27,"HD"),"")</f>
        <v>18</v>
      </c>
      <c r="AH29" s="22" t="n">
        <f aca="false">IF(AH$5="Work",COUNTIF(AH8:AH27,"P")+0.5*COUNTIF(AH8:AH27,"HD"),"")</f>
        <v>18</v>
      </c>
    </row>
    <row r="30" customFormat="false" ht="15" hidden="false" customHeight="true" outlineLevel="0" collapsed="false">
      <c r="B30" s="6" t="s">
        <v>86</v>
      </c>
      <c r="D30" s="22" t="n">
        <f aca="false">IF(D$5="Work",COUNTIF(D8:D27,"A")+0.5*COUNTIF(D8:D27,"HD"),"")</f>
        <v>1</v>
      </c>
      <c r="E30" s="22" t="str">
        <f aca="false">IF(E$5="Work",COUNTIF(E8:E27,"A")+0.5*COUNTIF(E8:E27,"HD"),"")</f>
        <v/>
      </c>
      <c r="F30" s="22" t="n">
        <f aca="false">IF(F$5="Work",COUNTIF(F8:F27,"A")+0.5*COUNTIF(F8:F27,"HD"),"")</f>
        <v>2</v>
      </c>
      <c r="G30" s="22" t="str">
        <f aca="false">IF(G$5="Work",COUNTIF(G8:G27,"A")+0.5*COUNTIF(G8:G27,"HD"),"")</f>
        <v/>
      </c>
      <c r="H30" s="22" t="n">
        <f aca="false">IF(H$5="Work",COUNTIF(H8:H27,"A")+0.5*COUNTIF(H8:H27,"HD"),"")</f>
        <v>0</v>
      </c>
      <c r="I30" s="22" t="n">
        <f aca="false">IF(I$5="Work",COUNTIF(I8:I27,"A")+0.5*COUNTIF(I8:I27,"HD"),"")</f>
        <v>0</v>
      </c>
      <c r="J30" s="22" t="n">
        <f aca="false">IF(J$5="Work",COUNTIF(J8:J27,"A")+0.5*COUNTIF(J8:J27,"HD"),"")</f>
        <v>0</v>
      </c>
      <c r="K30" s="22" t="n">
        <f aca="false">IF(K$5="Work",COUNTIF(K8:K27,"A")+0.5*COUNTIF(K8:K27,"HD"),"")</f>
        <v>0</v>
      </c>
      <c r="L30" s="22" t="n">
        <f aca="false">IF(L$5="Work",COUNTIF(L8:L27,"A")+0.5*COUNTIF(L8:L27,"HD"),"")</f>
        <v>0</v>
      </c>
      <c r="M30" s="22" t="n">
        <f aca="false">IF(M$5="Work",COUNTIF(M8:M27,"A")+0.5*COUNTIF(M8:M27,"HD"),"")</f>
        <v>1.5</v>
      </c>
      <c r="N30" s="22" t="str">
        <f aca="false">IF(N$5="Work",COUNTIF(N8:N27,"A")+0.5*COUNTIF(N8:N27,"HD"),"")</f>
        <v/>
      </c>
      <c r="O30" s="22" t="n">
        <f aca="false">IF(O$5="Work",COUNTIF(O8:O27,"A")+0.5*COUNTIF(O8:O27,"HD"),"")</f>
        <v>0</v>
      </c>
      <c r="P30" s="22" t="n">
        <f aca="false">IF(P$5="Work",COUNTIF(P8:P27,"A")+0.5*COUNTIF(P8:P27,"HD"),"")</f>
        <v>1</v>
      </c>
      <c r="Q30" s="22" t="n">
        <f aca="false">IF(Q$5="Work",COUNTIF(Q8:Q27,"A")+0.5*COUNTIF(Q8:Q27,"HD"),"")</f>
        <v>1</v>
      </c>
      <c r="R30" s="22" t="n">
        <f aca="false">IF(R$5="Work",COUNTIF(R8:R27,"A")+0.5*COUNTIF(R8:R27,"HD"),"")</f>
        <v>0</v>
      </c>
      <c r="S30" s="22" t="n">
        <f aca="false">IF(S$5="Work",COUNTIF(S8:S27,"A")+0.5*COUNTIF(S8:S27,"HD"),"")</f>
        <v>0.5</v>
      </c>
      <c r="T30" s="22" t="n">
        <f aca="false">IF(T$5="Work",COUNTIF(T8:T27,"A")+0.5*COUNTIF(T8:T27,"HD"),"")</f>
        <v>0.5</v>
      </c>
      <c r="U30" s="22" t="str">
        <f aca="false">IF(U$5="Work",COUNTIF(U8:U27,"A")+0.5*COUNTIF(U8:U27,"HD"),"")</f>
        <v/>
      </c>
      <c r="V30" s="22" t="n">
        <f aca="false">IF(V$5="Work",COUNTIF(V8:V27,"A")+0.5*COUNTIF(V8:V27,"HD"),"")</f>
        <v>0.5</v>
      </c>
      <c r="W30" s="22" t="str">
        <f aca="false">IF(W$5="Work",COUNTIF(W8:W27,"A")+0.5*COUNTIF(W8:W27,"HD"),"")</f>
        <v/>
      </c>
      <c r="X30" s="22" t="n">
        <f aca="false">IF(X$5="Work",COUNTIF(X8:X27,"A")+0.5*COUNTIF(X8:X27,"HD"),"")</f>
        <v>1</v>
      </c>
      <c r="Y30" s="22" t="n">
        <f aca="false">IF(Y$5="Work",COUNTIF(Y8:Y27,"A")+0.5*COUNTIF(Y8:Y27,"HD"),"")</f>
        <v>1</v>
      </c>
      <c r="Z30" s="22" t="n">
        <f aca="false">IF(Z$5="Work",COUNTIF(Z8:Z27,"A")+0.5*COUNTIF(Z8:Z27,"HD"),"")</f>
        <v>3</v>
      </c>
      <c r="AA30" s="22" t="n">
        <f aca="false">IF(AA$5="Work",COUNTIF(AA8:AA27,"A")+0.5*COUNTIF(AA8:AA27,"HD"),"")</f>
        <v>0.5</v>
      </c>
      <c r="AB30" s="22" t="str">
        <f aca="false">IF(AB$5="Work",COUNTIF(AB8:AB27,"A")+0.5*COUNTIF(AB8:AB27,"HD"),"")</f>
        <v/>
      </c>
      <c r="AC30" s="22" t="n">
        <f aca="false">IF(AC$5="Work",COUNTIF(AC8:AC27,"A")+0.5*COUNTIF(AC8:AC27,"HD"),"")</f>
        <v>0</v>
      </c>
      <c r="AD30" s="22" t="n">
        <f aca="false">IF(AD$5="Work",COUNTIF(AD8:AD27,"A")+0.5*COUNTIF(AD8:AD27,"HD"),"")</f>
        <v>0.5</v>
      </c>
      <c r="AE30" s="22" t="n">
        <f aca="false">IF(AE$5="Work",COUNTIF(AE8:AE27,"A")+0.5*COUNTIF(AE8:AE27,"HD"),"")</f>
        <v>1</v>
      </c>
      <c r="AF30" s="22" t="n">
        <f aca="false">IF(AF$5="Work",COUNTIF(AF8:AF27,"A")+0.5*COUNTIF(AF8:AF27,"HD"),"")</f>
        <v>0.5</v>
      </c>
      <c r="AG30" s="22" t="n">
        <f aca="false">IF(AG$5="Work",COUNTIF(AG8:AG27,"A")+0.5*COUNTIF(AG8:AG27,"HD"),"")</f>
        <v>1</v>
      </c>
      <c r="AH30" s="22" t="n">
        <f aca="false">IF(AH$5="Work",COUNTIF(AH8:AH27,"A")+0.5*COUNTIF(AH8:AH27,"HD"),"")</f>
        <v>2</v>
      </c>
    </row>
  </sheetData>
  <conditionalFormatting sqref="D8:AH30">
    <cfRule type="expression" priority="2" aboveAverage="0" equalAverage="0" bottom="0" percent="0" rank="0" text="" dxfId="0">
      <formula>OR(D$5="WO",D$5="H")</formula>
    </cfRule>
  </conditionalFormatting>
  <conditionalFormatting sqref="D8:AH27">
    <cfRule type="cellIs" priority="3" operator="equal" aboveAverage="0" equalAverage="0" bottom="0" percent="0" rank="0" text="" dxfId="1">
      <formula>"P"</formula>
    </cfRule>
    <cfRule type="cellIs" priority="4" operator="equal" aboveAverage="0" equalAverage="0" bottom="0" percent="0" rank="0" text="" dxfId="2">
      <formula>"A"</formula>
    </cfRule>
    <cfRule type="cellIs" priority="5" operator="equal" aboveAverage="0" equalAverage="0" bottom="0" percent="0" rank="0" text="" dxfId="3">
      <formula>"HD"</formula>
    </cfRule>
    <cfRule type="cellIs" priority="6" operator="equal" aboveAverage="0" equalAverage="0" bottom="0" percent="0" rank="0" text="" dxfId="4">
      <formula>"L"</formula>
    </cfRule>
  </conditionalFormatting>
  <conditionalFormatting sqref="AM8:AM27">
    <cfRule type="cellIs" priority="7" operator="greaterThan" aboveAverage="0" equalAverage="0" bottom="0" percent="0" rank="0" text="" dxfId="2">
      <formula>0</formula>
    </cfRule>
  </conditionalFormatting>
  <conditionalFormatting sqref="AO8:AO27">
    <cfRule type="cellIs" priority="8" operator="lessThan" aboveAverage="0" equalAverage="0" bottom="0" percent="0" rank="0" text="" dxfId="5">
      <formula>0.9</formula>
    </cfRule>
  </conditionalFormatting>
  <dataValidations count="2">
    <dataValidation allowBlank="false" errorStyle="stop" operator="between" showDropDown="false" showErrorMessage="false" showInputMessage="false" sqref="C3" type="list">
      <formula1>"Sunday,Saturday and Sunday"</formula1>
      <formula2>0</formula2>
    </dataValidation>
    <dataValidation allowBlank="true" error="Use P, A, HD or L. Leave weekly offs and holidays blank." errorStyle="stop" errorTitle="Use a code" operator="between" showDropDown="false" showErrorMessage="true" showInputMessage="false" sqref="D8:AH27" type="list">
      <formula1>"P,A,HD,L"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30"/>
    <col collapsed="false" customWidth="true" hidden="false" outlineLevel="0" max="4" min="4" style="1" width="90"/>
  </cols>
  <sheetData>
    <row r="1" customFormat="false" ht="15" hidden="false" customHeight="true" outlineLevel="0" collapsed="false">
      <c r="A1" s="14" t="s">
        <v>87</v>
      </c>
      <c r="B1" s="14" t="s">
        <v>88</v>
      </c>
      <c r="D1" s="10" t="s">
        <v>89</v>
      </c>
    </row>
    <row r="2" customFormat="false" ht="15" hidden="false" customHeight="true" outlineLevel="0" collapsed="false">
      <c r="A2" s="23" t="n">
        <v>46297</v>
      </c>
      <c r="B2" s="24" t="s">
        <v>90</v>
      </c>
    </row>
    <row r="3" customFormat="false" ht="15" hidden="false" customHeight="true" outlineLevel="0" collapsed="false">
      <c r="A3" s="23" t="n">
        <v>46315</v>
      </c>
      <c r="B3" s="24" t="s">
        <v>91</v>
      </c>
    </row>
    <row r="4" customFormat="false" ht="15" hidden="false" customHeight="true" outlineLevel="0" collapsed="false">
      <c r="A4" s="25"/>
    </row>
    <row r="5" customFormat="false" ht="15" hidden="false" customHeight="true" outlineLevel="0" collapsed="false">
      <c r="A5" s="25"/>
    </row>
    <row r="6" customFormat="false" ht="15" hidden="false" customHeight="true" outlineLevel="0" collapsed="false">
      <c r="A6" s="25"/>
    </row>
    <row r="7" customFormat="false" ht="15" hidden="false" customHeight="true" outlineLevel="0" collapsed="false">
      <c r="A7" s="25"/>
    </row>
    <row r="8" customFormat="false" ht="15" hidden="false" customHeight="true" outlineLevel="0" collapsed="false">
      <c r="A8" s="25"/>
    </row>
    <row r="9" customFormat="false" ht="15" hidden="false" customHeight="true" outlineLevel="0" collapsed="false">
      <c r="A9" s="25"/>
    </row>
    <row r="10" customFormat="false" ht="15" hidden="false" customHeight="true" outlineLevel="0" collapsed="false">
      <c r="A10" s="25"/>
    </row>
    <row r="11" customFormat="false" ht="15" hidden="false" customHeight="true" outlineLevel="0" collapsed="false">
      <c r="A11" s="25"/>
    </row>
    <row r="12" customFormat="false" ht="15" hidden="false" customHeight="true" outlineLevel="0" collapsed="false">
      <c r="A12" s="25"/>
    </row>
    <row r="13" customFormat="false" ht="15" hidden="false" customHeight="true" outlineLevel="0" collapsed="false">
      <c r="A13" s="25"/>
    </row>
    <row r="14" customFormat="false" ht="15" hidden="false" customHeight="true" outlineLevel="0" collapsed="false">
      <c r="A14" s="25"/>
    </row>
    <row r="15" customFormat="false" ht="15" hidden="false" customHeight="true" outlineLevel="0" collapsed="false">
      <c r="A15" s="25"/>
    </row>
    <row r="16" customFormat="false" ht="15" hidden="false" customHeight="true" outlineLevel="0" collapsed="false">
      <c r="A16" s="25"/>
    </row>
    <row r="17" customFormat="false" ht="15" hidden="false" customHeight="true" outlineLevel="0" collapsed="false">
      <c r="A17" s="25"/>
    </row>
    <row r="18" customFormat="false" ht="15" hidden="false" customHeight="true" outlineLevel="0" collapsed="false">
      <c r="A18" s="25"/>
    </row>
    <row r="19" customFormat="false" ht="15" hidden="false" customHeight="true" outlineLevel="0" collapsed="false">
      <c r="A19" s="25"/>
    </row>
    <row r="20" customFormat="false" ht="15" hidden="false" customHeight="true" outlineLevel="0" collapsed="false">
      <c r="A20" s="25"/>
    </row>
    <row r="21" customFormat="false" ht="15" hidden="false" customHeight="true" outlineLevel="0" collapsed="false">
      <c r="A21" s="25"/>
    </row>
    <row r="22" customFormat="false" ht="15" hidden="false" customHeight="true" outlineLevel="0" collapsed="false">
      <c r="A22" s="25"/>
    </row>
    <row r="23" customFormat="false" ht="15" hidden="false" customHeight="true" outlineLevel="0" collapsed="false">
      <c r="A23" s="25"/>
    </row>
    <row r="24" customFormat="false" ht="15" hidden="false" customHeight="true" outlineLevel="0" collapsed="false">
      <c r="A24" s="25"/>
    </row>
    <row r="25" customFormat="false" ht="15" hidden="false" customHeight="true" outlineLevel="0" collapsed="false">
      <c r="A25" s="25"/>
    </row>
    <row r="26" customFormat="false" ht="15" hidden="false" customHeight="true" outlineLevel="0" collapsed="false">
      <c r="A26" s="25"/>
    </row>
    <row r="27" customFormat="false" ht="15" hidden="false" customHeight="true" outlineLevel="0" collapsed="false">
      <c r="A27" s="25"/>
    </row>
    <row r="28" customFormat="false" ht="15" hidden="false" customHeight="true" outlineLevel="0" collapsed="false">
      <c r="A28" s="25"/>
    </row>
    <row r="29" customFormat="false" ht="15" hidden="false" customHeight="true" outlineLevel="0" collapsed="false">
      <c r="A29" s="25"/>
    </row>
    <row r="30" customFormat="false" ht="15" hidden="false" customHeight="true" outlineLevel="0" collapsed="false">
      <c r="A30" s="25"/>
    </row>
    <row r="31" customFormat="false" ht="15" hidden="false" customHeight="true" outlineLevel="0" collapsed="false">
      <c r="A31" s="25"/>
    </row>
    <row r="32" customFormat="false" ht="15" hidden="false" customHeight="true" outlineLevel="0" collapsed="false">
      <c r="A32" s="25"/>
    </row>
    <row r="33" customFormat="false" ht="15" hidden="false" customHeight="true" outlineLevel="0" collapsed="false">
      <c r="A33" s="25"/>
    </row>
    <row r="34" customFormat="false" ht="15" hidden="false" customHeight="true" outlineLevel="0" collapsed="false">
      <c r="A34" s="25"/>
    </row>
    <row r="35" customFormat="false" ht="15" hidden="false" customHeight="true" outlineLevel="0" collapsed="false">
      <c r="A35" s="25"/>
    </row>
    <row r="36" customFormat="false" ht="15" hidden="false" customHeight="true" outlineLevel="0" collapsed="false">
      <c r="A36" s="25"/>
    </row>
    <row r="37" customFormat="false" ht="15" hidden="false" customHeight="true" outlineLevel="0" collapsed="false">
      <c r="A37" s="25"/>
    </row>
    <row r="38" customFormat="false" ht="15" hidden="false" customHeight="true" outlineLevel="0" collapsed="false">
      <c r="A38" s="25"/>
    </row>
    <row r="39" customFormat="false" ht="15" hidden="false" customHeight="true" outlineLevel="0" collapsed="false">
      <c r="A39" s="25"/>
    </row>
    <row r="40" customFormat="false" ht="15" hidden="false" customHeight="true" outlineLevel="0" collapsed="false">
      <c r="A40" s="25"/>
    </row>
    <row r="41" customFormat="false" ht="15" hidden="false" customHeight="true" outlineLevel="0" collapsed="false">
      <c r="A41" s="25"/>
    </row>
    <row r="42" customFormat="false" ht="15" hidden="false" customHeight="true" outlineLevel="0" collapsed="false">
      <c r="A42" s="25"/>
    </row>
    <row r="43" customFormat="false" ht="15" hidden="false" customHeight="true" outlineLevel="0" collapsed="false">
      <c r="A43" s="25"/>
    </row>
    <row r="44" customFormat="false" ht="15" hidden="false" customHeight="true" outlineLevel="0" collapsed="false">
      <c r="A44" s="25"/>
    </row>
    <row r="45" customFormat="false" ht="15" hidden="false" customHeight="true" outlineLevel="0" collapsed="false">
      <c r="A45" s="25"/>
    </row>
    <row r="46" customFormat="false" ht="15" hidden="false" customHeight="true" outlineLevel="0" collapsed="false">
      <c r="A46" s="25"/>
    </row>
    <row r="47" customFormat="false" ht="15" hidden="false" customHeight="true" outlineLevel="0" collapsed="false">
      <c r="A47" s="25"/>
    </row>
    <row r="48" customFormat="false" ht="15" hidden="false" customHeight="true" outlineLevel="0" collapsed="false">
      <c r="A48" s="25"/>
    </row>
    <row r="49" customFormat="false" ht="15" hidden="false" customHeight="true" outlineLevel="0" collapsed="false">
      <c r="A49" s="25"/>
    </row>
    <row r="50" customFormat="false" ht="15" hidden="false" customHeight="true" outlineLevel="0" collapsed="false">
      <c r="A50" s="25"/>
    </row>
    <row r="51" customFormat="false" ht="15" hidden="false" customHeight="true" outlineLevel="0" collapsed="false">
      <c r="A51" s="25"/>
    </row>
    <row r="52" customFormat="false" ht="15" hidden="false" customHeight="true" outlineLevel="0" collapsed="false">
      <c r="A52" s="25"/>
    </row>
    <row r="53" customFormat="false" ht="15" hidden="false" customHeight="true" outlineLevel="0" collapsed="false">
      <c r="A53" s="25"/>
    </row>
    <row r="54" customFormat="false" ht="15" hidden="false" customHeight="true" outlineLevel="0" collapsed="false">
      <c r="A54" s="25"/>
    </row>
    <row r="55" customFormat="false" ht="15" hidden="false" customHeight="true" outlineLevel="0" collapsed="false">
      <c r="A55" s="25"/>
    </row>
    <row r="56" customFormat="false" ht="15" hidden="false" customHeight="true" outlineLevel="0" collapsed="false">
      <c r="A56" s="25"/>
    </row>
    <row r="57" customFormat="false" ht="15" hidden="false" customHeight="true" outlineLevel="0" collapsed="false">
      <c r="A57" s="25"/>
    </row>
    <row r="58" customFormat="false" ht="15" hidden="false" customHeight="true" outlineLevel="0" collapsed="false">
      <c r="A58" s="25"/>
    </row>
    <row r="59" customFormat="false" ht="15" hidden="false" customHeight="true" outlineLevel="0" collapsed="false">
      <c r="A59" s="25"/>
    </row>
    <row r="60" customFormat="false" ht="15" hidden="false" customHeight="true" outlineLevel="0" collapsed="false">
      <c r="A60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2"/>
    <col collapsed="false" customWidth="true" hidden="false" outlineLevel="0" max="3" min="3" style="1" width="3"/>
    <col collapsed="false" customWidth="true" hidden="false" outlineLevel="0" max="4" min="4" style="1" width="16"/>
    <col collapsed="false" customWidth="true" hidden="false" outlineLevel="0" max="5" min="5" style="1" width="12"/>
    <col collapsed="false" customWidth="true" hidden="false" outlineLevel="0" max="6" min="6" style="1" width="17"/>
    <col collapsed="false" customWidth="true" hidden="false" outlineLevel="0" max="7" min="7" style="1" width="18"/>
  </cols>
  <sheetData>
    <row r="1" customFormat="false" ht="19.5" hidden="false" customHeight="true" outlineLevel="0" collapsed="false">
      <c r="A1" s="5" t="s">
        <v>92</v>
      </c>
    </row>
    <row r="2" customFormat="false" ht="15" hidden="false" customHeight="true" outlineLevel="0" collapsed="false">
      <c r="A2" s="26" t="str">
        <f aca="false">TEXT(Attendance!C2,"mmmm yyyy")&amp;" · "&amp;Attendance!H3&amp;" working days"</f>
        <v>October 2026 · 25 working days</v>
      </c>
    </row>
    <row r="4" customFormat="false" ht="15" hidden="false" customHeight="true" outlineLevel="0" collapsed="false">
      <c r="A4" s="27" t="s">
        <v>93</v>
      </c>
      <c r="B4" s="28" t="n">
        <f aca="false">COUNTA(Attendance!$A$8:$A$27)</f>
        <v>20</v>
      </c>
      <c r="D4" s="14" t="s">
        <v>29</v>
      </c>
      <c r="E4" s="14" t="s">
        <v>93</v>
      </c>
      <c r="F4" s="14" t="s">
        <v>94</v>
      </c>
      <c r="G4" s="14" t="s">
        <v>95</v>
      </c>
    </row>
    <row r="5" customFormat="false" ht="15" hidden="false" customHeight="true" outlineLevel="0" collapsed="false">
      <c r="A5" s="27" t="s">
        <v>96</v>
      </c>
      <c r="B5" s="29" t="n">
        <f aca="false">AVERAGE(Attendance!$AO$8:$AO$27)</f>
        <v>0.927</v>
      </c>
      <c r="D5" s="30" t="s">
        <v>39</v>
      </c>
      <c r="E5" s="30" t="n">
        <f aca="false">COUNTIF(Attendance!$C$8:$C$27,D5)</f>
        <v>6</v>
      </c>
      <c r="F5" s="31" t="n">
        <f aca="false">IFERROR(AVERAGEIF(Attendance!$C$8:$C$27,D5,Attendance!$AO$8:$AO$27),0)</f>
        <v>0.926666666666667</v>
      </c>
      <c r="G5" s="32" t="n">
        <f aca="false">SUMIF(Attendance!$C$8:$C$27,D5,Attendance!$AJ$8:$AJ$27)</f>
        <v>4</v>
      </c>
    </row>
    <row r="6" customFormat="false" ht="15" hidden="false" customHeight="true" outlineLevel="0" collapsed="false">
      <c r="A6" s="27" t="s">
        <v>97</v>
      </c>
      <c r="B6" s="33" t="n">
        <f aca="false">SUM(Attendance!$AI$8:$AI$27)</f>
        <v>463.5</v>
      </c>
      <c r="D6" s="30" t="s">
        <v>45</v>
      </c>
      <c r="E6" s="30" t="n">
        <f aca="false">COUNTIF(Attendance!$C$8:$C$27,D6)</f>
        <v>6</v>
      </c>
      <c r="F6" s="31" t="n">
        <f aca="false">IFERROR(AVERAGEIF(Attendance!$C$8:$C$27,D6,Attendance!$AO$8:$AO$27),0)</f>
        <v>0.94</v>
      </c>
      <c r="G6" s="32" t="n">
        <f aca="false">SUMIF(Attendance!$C$8:$C$27,D6,Attendance!$AJ$8:$AJ$27)</f>
        <v>4</v>
      </c>
    </row>
    <row r="7" customFormat="false" ht="15" hidden="false" customHeight="true" outlineLevel="0" collapsed="false">
      <c r="A7" s="27" t="s">
        <v>98</v>
      </c>
      <c r="B7" s="33" t="n">
        <f aca="false">SUM(Attendance!$AJ$8:$AJ$27)</f>
        <v>18.5</v>
      </c>
      <c r="D7" s="30" t="s">
        <v>48</v>
      </c>
      <c r="E7" s="30" t="n">
        <f aca="false">COUNTIF(Attendance!$C$8:$C$27,D7)</f>
        <v>4</v>
      </c>
      <c r="F7" s="31" t="n">
        <f aca="false">IFERROR(AVERAGEIF(Attendance!$C$8:$C$27,D7,Attendance!$AO$8:$AO$27),0)</f>
        <v>0.9</v>
      </c>
      <c r="G7" s="32" t="n">
        <f aca="false">SUMIF(Attendance!$C$8:$C$27,D7,Attendance!$AJ$8:$AJ$27)</f>
        <v>7</v>
      </c>
    </row>
    <row r="8" customFormat="false" ht="15" hidden="false" customHeight="true" outlineLevel="0" collapsed="false">
      <c r="A8" s="27" t="s">
        <v>99</v>
      </c>
      <c r="B8" s="28" t="n">
        <f aca="false">SUM(Attendance!$AL$8:$AL$27)</f>
        <v>17</v>
      </c>
      <c r="D8" s="30" t="s">
        <v>52</v>
      </c>
      <c r="E8" s="30" t="n">
        <f aca="false">COUNTIF(Attendance!$C$8:$C$27,D8)</f>
        <v>4</v>
      </c>
      <c r="F8" s="31" t="n">
        <f aca="false">IFERROR(AVERAGEIF(Attendance!$C$8:$C$27,D8,Attendance!$AO$8:$AO$27),0)</f>
        <v>0.935</v>
      </c>
      <c r="G8" s="32" t="n">
        <f aca="false">SUMIF(Attendance!$C$8:$C$27,D8,Attendance!$AJ$8:$AJ$27)</f>
        <v>3.5</v>
      </c>
    </row>
    <row r="9" customFormat="false" ht="15" hidden="false" customHeight="true" outlineLevel="0" collapsed="false">
      <c r="A9" s="27" t="s">
        <v>100</v>
      </c>
      <c r="B9" s="28" t="n">
        <f aca="false">COUNTIF(Attendance!$AO$8:$AO$27,"&lt;0.9")</f>
        <v>5</v>
      </c>
    </row>
    <row r="10" customFormat="false" ht="15" hidden="false" customHeight="true" outlineLevel="0" collapsed="false">
      <c r="A10" s="27" t="s">
        <v>101</v>
      </c>
      <c r="B10" s="28" t="n">
        <f aca="false">SUM(Attendance!$AM$8:$AM$27)</f>
        <v>1</v>
      </c>
      <c r="D10" s="10" t="s">
        <v>102</v>
      </c>
    </row>
    <row r="11" customFormat="false" ht="15" hidden="false" customHeight="true" outlineLevel="0" collapsed="false">
      <c r="A11" s="27" t="s">
        <v>103</v>
      </c>
      <c r="B11" s="34" t="str">
        <f aca="false">INDEX(Attendance!$B$8:$B$27,MATCH(MAX(Attendance!$AJ$8:$AJ$27),Attendance!$AJ$8:$AJ$27,0))</f>
        <v>Priya Nair</v>
      </c>
    </row>
    <row r="12" customFormat="false" ht="15" hidden="false" customHeight="true" outlineLevel="0" collapsed="false">
      <c r="A12" s="27" t="s">
        <v>104</v>
      </c>
      <c r="B12" s="33" t="n">
        <f aca="false">MAX(Attendance!$AJ$8:$AJ$27)</f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2026-11-01T15:29:17Z</dcterms:created>
  <dc:creator>openpyxl</dc:creator>
  <dc:description/>
  <dc:language>en-US</dc:language>
  <cp:lastModifiedBy/>
  <dcterms:modified xsi:type="dcterms:W3CDTF">2026-11-01T15:29:44Z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